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165" windowHeight="8430" activeTab="1"/>
  </bookViews>
  <sheets>
    <sheet name="แม่แฝก" sheetId="1" r:id="rId1"/>
    <sheet name="งบประมาณ 2555" sheetId="2" r:id="rId2"/>
  </sheets>
  <definedNames>
    <definedName name="_xlnm.Print_Titles" localSheetId="0">'แม่แฝก'!$4:$4</definedName>
  </definedNames>
  <calcPr fullCalcOnLoad="1"/>
</workbook>
</file>

<file path=xl/comments1.xml><?xml version="1.0" encoding="utf-8"?>
<comments xmlns="http://schemas.openxmlformats.org/spreadsheetml/2006/main">
  <authors>
    <author>gfmis_user</author>
  </authors>
  <commentList>
    <comment ref="H34" authorId="0">
      <text>
        <r>
          <rPr>
            <b/>
            <sz val="8"/>
            <rFont val="Tahoma"/>
            <family val="2"/>
          </rPr>
          <t>gfmis_user: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<sst xmlns="http://schemas.openxmlformats.org/spreadsheetml/2006/main" count="154" uniqueCount="87">
  <si>
    <t>070035000H0858</t>
  </si>
  <si>
    <t>งบดำเนินงาน</t>
  </si>
  <si>
    <t>หมวด/รหัส</t>
  </si>
  <si>
    <t>โครงการชลประทานเชียงใหม่</t>
  </si>
  <si>
    <t>รหัสงบประมาณ</t>
  </si>
  <si>
    <t>เงินประจำงวด</t>
  </si>
  <si>
    <t>เบิกจ่าย</t>
  </si>
  <si>
    <t>คงเหลือ</t>
  </si>
  <si>
    <t>เปอร์เซ็นต์การเบิกจ่าย</t>
  </si>
  <si>
    <t>ชื่องาน</t>
  </si>
  <si>
    <t>งบลงทุน</t>
  </si>
  <si>
    <t>รายจ่ายอื่น</t>
  </si>
  <si>
    <t>งบกลาง</t>
  </si>
  <si>
    <t>สำนัก/โครงการ</t>
  </si>
  <si>
    <t>รวมทั้งสิ้น</t>
  </si>
  <si>
    <t>เงินงบประมาณ</t>
  </si>
  <si>
    <t>โครงการส่งน้ำฯแม่แฝก-แม่งัด</t>
  </si>
  <si>
    <t>อัตราการเบิกจ่าย</t>
  </si>
  <si>
    <t>ข้อผูกพัน</t>
  </si>
  <si>
    <t>รหัสกิจกรรมหลัก</t>
  </si>
  <si>
    <t>แหล่งของเงิน</t>
  </si>
  <si>
    <t>ลำดับที่</t>
  </si>
  <si>
    <t>โครงการส่งน้ำและบำรุงรักษาแม่แฝก-แม่งัด (ศูนย์ต้นทุน 0700300172)</t>
  </si>
  <si>
    <t>เงินกันเหลื่อมปี</t>
  </si>
  <si>
    <t>ค่าสาธารณูปโภค</t>
  </si>
  <si>
    <t>ค่าตอบแทนใช้สอยและวัสดุ</t>
  </si>
  <si>
    <t>รวมรหัสงาน  22701</t>
  </si>
  <si>
    <t>แผนงานส่งเสริมการบริหารจัดการน้ำอย่างบูรณาการ  การจัดการน้ำชลประทาน</t>
  </si>
  <si>
    <t>สะพานคอนกรีตเสริมเหล็ก คลองส่งน้ำสายใหญ่แม่แฝก</t>
  </si>
  <si>
    <t>รายงานการเบิกจ่ายเงินงบประมาณ  2556</t>
  </si>
  <si>
    <t>0700322001000000</t>
  </si>
  <si>
    <t>ค่าตอบแทนใช้สอยและวัสดุ (ค่าตอบแทนอาสาสมัคร)</t>
  </si>
  <si>
    <r>
      <t xml:space="preserve">รวมรหัสงาน  22002 </t>
    </r>
    <r>
      <rPr>
        <b/>
        <sz val="16"/>
        <rFont val="Angsana New"/>
        <family val="1"/>
      </rPr>
      <t>แผนงานส่งเสริมการบริหารจัดการน้ำอย่างบูรณาการ การจัดหาแหล่งน้ำและเพิ่มพื้นที่ชลประทาน</t>
    </r>
  </si>
  <si>
    <t>070035000H0859</t>
  </si>
  <si>
    <t>070035000H0857</t>
  </si>
  <si>
    <t>รวม 0700322001420052</t>
  </si>
  <si>
    <t>0700322001420052</t>
  </si>
  <si>
    <t>บำรุงรักษาหัวงานฝายสินธุกิจปรีชา 453 ไร่</t>
  </si>
  <si>
    <t>บำรุงรักษาหัวงานเขื่อนแม่งัดสมบูรณ์ชล  731 ไร่</t>
  </si>
  <si>
    <t>บำรุงรักษาคลองส่งน้ำสายใหญ่และคลองซอย แม่งัด 11 สาย 39.200กม</t>
  </si>
  <si>
    <t>บำรุงรักษาคลองส่งน้ำสายใหญ่และคลองซอย แม่แฝก 19 สาย 127.800กม</t>
  </si>
  <si>
    <t>รวม 0700322001410029</t>
  </si>
  <si>
    <t>0700322001410029</t>
  </si>
  <si>
    <t>กม.12+850 โครงการส่งน้ำและบำรุงรักษาแม่แฝก-แม่งัด</t>
  </si>
  <si>
    <t>การเบิกจ่ายเงินงบประมาณปีงบประมาณ  2556</t>
  </si>
  <si>
    <t xml:space="preserve">   -เงินงบประมาณ 2556</t>
  </si>
  <si>
    <t>ซ่อมแซมเครื่องกว้านบานระบายคลองส่งน้ำแม่แฝก 1 งาน</t>
  </si>
  <si>
    <t>ซ่อมแซม ปตร. ปากคลองส่งน้ำสายใหญ่แม่แฝก 1 งาน</t>
  </si>
  <si>
    <t>ซ่อมแซมท่อลอดคลองซอย 1R-3L-RMC แม่งัด กม.0+700 1 งาน</t>
  </si>
  <si>
    <t>รวม 0700322001420062</t>
  </si>
  <si>
    <t>0700322001420062</t>
  </si>
  <si>
    <t>ค่าบำรุงรักษาทางลำเลียงใหญ่</t>
  </si>
  <si>
    <t>รวม 0700322001410021</t>
  </si>
  <si>
    <t>0700322001410021</t>
  </si>
  <si>
    <t>ขยายเขตไฟฟ้าแรงสูงอาคารที่ทำการ โครงการฯแม่แฝก-แม่งัด</t>
  </si>
  <si>
    <t>ค่าใช้จ่ายอื่น</t>
  </si>
  <si>
    <t>รวม 0700322001700002</t>
  </si>
  <si>
    <t>0700322001700002</t>
  </si>
  <si>
    <t>ค่าใช้จ่ายในการปรับปรุงระบบการจัดการน้ำและพัฒนาองค์กรผู้ใช้น้ำ</t>
  </si>
  <si>
    <t>ซ่อมแซมคลองซอย 1L-8R แม่แฝก</t>
  </si>
  <si>
    <t>รวม 0700322001420053</t>
  </si>
  <si>
    <t>0700322001420053</t>
  </si>
  <si>
    <t>ขุดลอกหน้าฝายสินธุกิจปรีชา</t>
  </si>
  <si>
    <t>รวม 0700322001420054</t>
  </si>
  <si>
    <t>0700322001420054</t>
  </si>
  <si>
    <t>ขุดลอกลำน้ำแม่งัด กม.0+000-3+000</t>
  </si>
  <si>
    <t>ขุดลอกคลองส่งน้ำสายใหญ่แม่แฝก กม.22+000-36+000</t>
  </si>
  <si>
    <t>(5000H0858207)</t>
  </si>
  <si>
    <t>ซ่อมแซมระบบไฟฟ้าเครื่องกว้านระบาย อาคารระบายน้ำ</t>
  </si>
  <si>
    <t>(Service Spillway) เขื่อนแม่งัดสมบูรณ์ชล</t>
  </si>
  <si>
    <t>ซ่อมแซมไซฟ่อน คลองซอย 9 ขวา แม่แฝก กม.1+690</t>
  </si>
  <si>
    <t>ซ่อมแซมหินเรียงท้ายฝายแม่แฝก</t>
  </si>
  <si>
    <t>ซ่อมแซมท่อลอดคลอง กม.2+669 RMC แม่งัด</t>
  </si>
  <si>
    <t>ซ่อมแซมท่อลอดคลอง กม.5+224 LMC แม่งัด</t>
  </si>
  <si>
    <t>ซ่อมแซมคลองส่งน้ำ 3L-1R-LMC แม่งัด และอาคารประกอบ</t>
  </si>
  <si>
    <t>ซ่อมแซมคลองส่งน้ำ 5R-2L-RMC แม่งัด และอาคารประกอบ</t>
  </si>
  <si>
    <t>ซ่อมแซมอาคารพลับพลาเขื่อนแม่งัดสมบูรณ์ชล</t>
  </si>
  <si>
    <t>ค่าใช้จ่ายเพื่อส่งเสริมการมีส่วนร่วมงานก่อสร้างแหล่งน้ำตามรัฐธรรมนูญ 2550</t>
  </si>
  <si>
    <t>รวม 0700322001420060</t>
  </si>
  <si>
    <t>0700322001420060</t>
  </si>
  <si>
    <t>ค่ากำจัดวัชพืช</t>
  </si>
  <si>
    <t>ซ่อมแซมผิวจราจรทางเข้าหัวงานฝายสินธุกิจปรีชา</t>
  </si>
  <si>
    <t>(5000H0858213)</t>
  </si>
  <si>
    <t>(5000H0858211)</t>
  </si>
  <si>
    <t>รวม 0700322002700001</t>
  </si>
  <si>
    <t>0700322002700001</t>
  </si>
  <si>
    <t>ณ วันที่ 31 สิงหาคม 2556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</si>
</sst>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\t&quot;฿&quot;#,##0_);\(\t&quot;฿&quot;#,##0\)"/>
    <numFmt numFmtId="214" formatCode="\t&quot;฿&quot;#,##0_);[Red]\(\t&quot;฿&quot;#,##0\)"/>
    <numFmt numFmtId="215" formatCode="\t&quot;฿&quot;#,##0.00_);\(\t&quot;฿&quot;#,##0.00\)"/>
    <numFmt numFmtId="216" formatCode="\t&quot;฿&quot;#,##0.00_);[Red]\(\t&quot;฿&quot;#,##0.00\)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#,##0.00000000000"/>
    <numFmt numFmtId="223" formatCode="#,##0.0000000000"/>
    <numFmt numFmtId="224" formatCode="#,##0.000000000"/>
    <numFmt numFmtId="225" formatCode="#,##0.00000000"/>
    <numFmt numFmtId="226" formatCode="#,##0.0000000"/>
    <numFmt numFmtId="227" formatCode="#,##0.000000"/>
    <numFmt numFmtId="228" formatCode="#,##0.00000"/>
    <numFmt numFmtId="229" formatCode="#,##0.0000"/>
    <numFmt numFmtId="230" formatCode="#,##0.000"/>
    <numFmt numFmtId="231" formatCode="#,##0.0"/>
    <numFmt numFmtId="232" formatCode="_-* #,##0.0_-;\-* #,##0.0_-;_-* &quot;-&quot;??_-;_-@_-"/>
    <numFmt numFmtId="233" formatCode="0.0%"/>
    <numFmt numFmtId="234" formatCode="#,##0.00;[Red]#,##0.00"/>
    <numFmt numFmtId="235" formatCode="&quot;ใช่&quot;;&quot;ใช่&quot;;&quot;ไม่ใช่&quot;"/>
    <numFmt numFmtId="236" formatCode="&quot;จริง&quot;;&quot;จริง&quot;;&quot;เท็จ&quot;"/>
    <numFmt numFmtId="237" formatCode="&quot;เปิด&quot;;&quot;เปิด&quot;;&quot;ปิด&quot;"/>
    <numFmt numFmtId="238" formatCode="[$€-2]\ #,##0.00_);[Red]\([$€-2]\ #,##0.00\)"/>
    <numFmt numFmtId="239" formatCode="#,##0.00_ ;\-#,##0.00\ "/>
    <numFmt numFmtId="240" formatCode="0.00_);[Red]\(0.00\)"/>
    <numFmt numFmtId="241" formatCode="_-* #,##0_-;\-* #,##0_-;_-* &quot;-&quot;??_-;_-@_-"/>
    <numFmt numFmtId="242" formatCode="0.0"/>
    <numFmt numFmtId="243" formatCode="_(* #,##0.0_);_(* \(#,##0.0\);_(* &quot;-&quot;??_);_(@_)"/>
    <numFmt numFmtId="244" formatCode="_(* #,##0_);_(* \(#,##0\);_(* &quot;-&quot;??_);_(@_)"/>
    <numFmt numFmtId="245" formatCode="#,##0.0_);\(#,##0.0\)"/>
  </numFmts>
  <fonts count="56">
    <font>
      <sz val="10"/>
      <name val="Arial"/>
      <family val="0"/>
    </font>
    <font>
      <sz val="14"/>
      <name val="Cordia New"/>
      <family val="2"/>
    </font>
    <font>
      <sz val="14"/>
      <name val="Angsana New"/>
      <family val="1"/>
    </font>
    <font>
      <sz val="16"/>
      <name val="Angsana New"/>
      <family val="1"/>
    </font>
    <font>
      <sz val="14"/>
      <name val="Browallia New"/>
      <family val="2"/>
    </font>
    <font>
      <b/>
      <sz val="16"/>
      <name val="Angsana New"/>
      <family val="1"/>
    </font>
    <font>
      <b/>
      <sz val="14"/>
      <name val="Cordia New"/>
      <family val="2"/>
    </font>
    <font>
      <b/>
      <sz val="18"/>
      <name val="Angsana New"/>
      <family val="1"/>
    </font>
    <font>
      <b/>
      <u val="double"/>
      <sz val="16"/>
      <name val="Angsana New"/>
      <family val="1"/>
    </font>
    <font>
      <b/>
      <sz val="14"/>
      <name val="Angsana New"/>
      <family val="1"/>
    </font>
    <font>
      <b/>
      <sz val="14"/>
      <name val="CordiaUPC"/>
      <family val="2"/>
    </font>
    <font>
      <b/>
      <u val="double"/>
      <sz val="14"/>
      <name val="Cordia New"/>
      <family val="2"/>
    </font>
    <font>
      <u val="single"/>
      <sz val="14"/>
      <name val="Browallia New"/>
      <family val="2"/>
    </font>
    <font>
      <b/>
      <sz val="14"/>
      <name val="Browallia New"/>
      <family val="2"/>
    </font>
    <font>
      <b/>
      <u val="single"/>
      <sz val="14"/>
      <name val="Cordia Ne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3"/>
      <name val="Angsana New"/>
      <family val="1"/>
    </font>
    <font>
      <sz val="12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0" fontId="45" fillId="0" borderId="3" applyNumberFormat="0" applyFill="0" applyAlignment="0" applyProtection="0"/>
    <xf numFmtId="0" fontId="46" fillId="21" borderId="0" applyNumberFormat="0" applyBorder="0" applyAlignment="0" applyProtection="0"/>
    <xf numFmtId="0" fontId="47" fillId="22" borderId="1" applyNumberFormat="0" applyAlignment="0" applyProtection="0"/>
    <xf numFmtId="0" fontId="48" fillId="23" borderId="0" applyNumberFormat="0" applyBorder="0" applyAlignment="0" applyProtection="0"/>
    <xf numFmtId="0" fontId="49" fillId="0" borderId="4" applyNumberFormat="0" applyFill="0" applyAlignment="0" applyProtection="0"/>
    <xf numFmtId="0" fontId="50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51" fillId="19" borderId="5" applyNumberFormat="0" applyAlignment="0" applyProtection="0"/>
    <xf numFmtId="0" fontId="0" fillId="31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2" xfId="33" applyNumberFormat="1" applyFont="1" applyBorder="1" applyAlignment="1" quotePrefix="1">
      <alignment horizontal="right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43" fontId="9" fillId="0" borderId="17" xfId="33" applyFont="1" applyBorder="1" applyAlignment="1">
      <alignment/>
    </xf>
    <xf numFmtId="43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" fontId="4" fillId="0" borderId="13" xfId="0" applyNumberFormat="1" applyFont="1" applyBorder="1" applyAlignment="1" quotePrefix="1">
      <alignment/>
    </xf>
    <xf numFmtId="0" fontId="8" fillId="0" borderId="12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4" fillId="0" borderId="13" xfId="0" applyNumberFormat="1" applyFont="1" applyBorder="1" applyAlignment="1" quotePrefix="1">
      <alignment horizontal="center"/>
    </xf>
    <xf numFmtId="0" fontId="11" fillId="0" borderId="1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43" fontId="5" fillId="0" borderId="23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43" fontId="3" fillId="0" borderId="23" xfId="33" applyFont="1" applyFill="1" applyBorder="1" applyAlignment="1">
      <alignment horizontal="center"/>
    </xf>
    <xf numFmtId="39" fontId="3" fillId="0" borderId="12" xfId="33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 vertical="center" wrapText="1"/>
    </xf>
    <xf numFmtId="39" fontId="3" fillId="0" borderId="11" xfId="33" applyNumberFormat="1" applyFont="1" applyFill="1" applyBorder="1" applyAlignment="1" quotePrefix="1">
      <alignment horizontal="right"/>
    </xf>
    <xf numFmtId="4" fontId="4" fillId="0" borderId="11" xfId="33" applyNumberFormat="1" applyFont="1" applyFill="1" applyBorder="1" applyAlignment="1" quotePrefix="1">
      <alignment horizontal="right"/>
    </xf>
    <xf numFmtId="43" fontId="3" fillId="0" borderId="0" xfId="0" applyNumberFormat="1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 horizontal="center" vertical="center" wrapText="1"/>
    </xf>
    <xf numFmtId="4" fontId="4" fillId="0" borderId="19" xfId="33" applyNumberFormat="1" applyFont="1" applyFill="1" applyBorder="1" applyAlignment="1" quotePrefix="1">
      <alignment horizontal="right"/>
    </xf>
    <xf numFmtId="39" fontId="3" fillId="0" borderId="12" xfId="33" applyNumberFormat="1" applyFont="1" applyFill="1" applyBorder="1" applyAlignment="1" quotePrefix="1">
      <alignment horizontal="right"/>
    </xf>
    <xf numFmtId="4" fontId="4" fillId="0" borderId="12" xfId="33" applyNumberFormat="1" applyFont="1" applyFill="1" applyBorder="1" applyAlignment="1" quotePrefix="1">
      <alignment horizontal="right"/>
    </xf>
    <xf numFmtId="4" fontId="4" fillId="0" borderId="18" xfId="33" applyNumberFormat="1" applyFont="1" applyFill="1" applyBorder="1" applyAlignment="1" quotePrefix="1">
      <alignment horizontal="right"/>
    </xf>
    <xf numFmtId="4" fontId="4" fillId="0" borderId="16" xfId="33" applyNumberFormat="1" applyFont="1" applyFill="1" applyBorder="1" applyAlignment="1" quotePrefix="1">
      <alignment horizontal="right"/>
    </xf>
    <xf numFmtId="4" fontId="13" fillId="0" borderId="23" xfId="33" applyNumberFormat="1" applyFont="1" applyFill="1" applyBorder="1" applyAlignment="1">
      <alignment horizontal="center"/>
    </xf>
    <xf numFmtId="4" fontId="4" fillId="0" borderId="23" xfId="33" applyNumberFormat="1" applyFont="1" applyFill="1" applyBorder="1" applyAlignment="1">
      <alignment horizontal="center"/>
    </xf>
    <xf numFmtId="4" fontId="4" fillId="0" borderId="19" xfId="33" applyNumberFormat="1" applyFont="1" applyFill="1" applyBorder="1" applyAlignment="1">
      <alignment horizontal="center"/>
    </xf>
    <xf numFmtId="4" fontId="4" fillId="0" borderId="12" xfId="33" applyNumberFormat="1" applyFont="1" applyFill="1" applyBorder="1" applyAlignment="1">
      <alignment horizontal="center"/>
    </xf>
    <xf numFmtId="4" fontId="4" fillId="0" borderId="18" xfId="33" applyNumberFormat="1" applyFont="1" applyFill="1" applyBorder="1" applyAlignment="1">
      <alignment horizontal="center"/>
    </xf>
    <xf numFmtId="4" fontId="4" fillId="0" borderId="22" xfId="33" applyNumberFormat="1" applyFont="1" applyFill="1" applyBorder="1" applyAlignment="1">
      <alignment horizontal="center"/>
    </xf>
    <xf numFmtId="4" fontId="4" fillId="0" borderId="16" xfId="33" applyNumberFormat="1" applyFont="1" applyFill="1" applyBorder="1" applyAlignment="1">
      <alignment horizontal="center"/>
    </xf>
    <xf numFmtId="39" fontId="3" fillId="0" borderId="24" xfId="33" applyNumberFormat="1" applyFont="1" applyFill="1" applyBorder="1" applyAlignment="1" quotePrefix="1">
      <alignment horizontal="right"/>
    </xf>
    <xf numFmtId="39" fontId="3" fillId="0" borderId="19" xfId="33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22" xfId="33" applyNumberFormat="1" applyFont="1" applyFill="1" applyBorder="1" applyAlignment="1" quotePrefix="1">
      <alignment horizontal="right"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>
      <alignment horizontal="center"/>
    </xf>
    <xf numFmtId="39" fontId="3" fillId="0" borderId="19" xfId="33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0" fontId="9" fillId="0" borderId="0" xfId="0" applyFont="1" applyFill="1" applyAlignment="1">
      <alignment/>
    </xf>
    <xf numFmtId="39" fontId="3" fillId="0" borderId="27" xfId="33" applyNumberFormat="1" applyFont="1" applyFill="1" applyBorder="1" applyAlignment="1" quotePrefix="1">
      <alignment horizontal="right"/>
    </xf>
    <xf numFmtId="39" fontId="3" fillId="0" borderId="22" xfId="33" applyNumberFormat="1" applyFont="1" applyFill="1" applyBorder="1" applyAlignment="1" quotePrefix="1">
      <alignment horizontal="right"/>
    </xf>
    <xf numFmtId="39" fontId="3" fillId="0" borderId="22" xfId="33" applyNumberFormat="1" applyFont="1" applyFill="1" applyBorder="1" applyAlignment="1">
      <alignment/>
    </xf>
    <xf numFmtId="4" fontId="4" fillId="0" borderId="16" xfId="33" applyNumberFormat="1" applyFont="1" applyFill="1" applyBorder="1" applyAlignment="1">
      <alignment/>
    </xf>
    <xf numFmtId="4" fontId="4" fillId="0" borderId="0" xfId="33" applyNumberFormat="1" applyFont="1" applyFill="1" applyBorder="1" applyAlignment="1" quotePrefix="1">
      <alignment horizontal="right"/>
    </xf>
    <xf numFmtId="43" fontId="3" fillId="32" borderId="23" xfId="33" applyFont="1" applyFill="1" applyBorder="1" applyAlignment="1">
      <alignment horizontal="center"/>
    </xf>
    <xf numFmtId="4" fontId="3" fillId="32" borderId="23" xfId="0" applyNumberFormat="1" applyFont="1" applyFill="1" applyBorder="1" applyAlignment="1">
      <alignment horizontal="right"/>
    </xf>
    <xf numFmtId="43" fontId="2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19" xfId="33" applyNumberFormat="1" applyFont="1" applyFill="1" applyBorder="1" applyAlignment="1">
      <alignment/>
    </xf>
    <xf numFmtId="4" fontId="12" fillId="0" borderId="24" xfId="33" applyNumberFormat="1" applyFont="1" applyFill="1" applyBorder="1" applyAlignment="1" quotePrefix="1">
      <alignment horizontal="right"/>
    </xf>
    <xf numFmtId="4" fontId="4" fillId="0" borderId="24" xfId="33" applyNumberFormat="1" applyFont="1" applyFill="1" applyBorder="1" applyAlignment="1">
      <alignment horizontal="right"/>
    </xf>
    <xf numFmtId="4" fontId="4" fillId="0" borderId="24" xfId="33" applyNumberFormat="1" applyFont="1" applyFill="1" applyBorder="1" applyAlignment="1" quotePrefix="1">
      <alignment horizontal="right"/>
    </xf>
    <xf numFmtId="39" fontId="2" fillId="0" borderId="12" xfId="33" applyNumberFormat="1" applyFont="1" applyBorder="1" applyAlignment="1" quotePrefix="1">
      <alignment horizontal="right"/>
    </xf>
    <xf numFmtId="4" fontId="4" fillId="0" borderId="25" xfId="0" applyNumberFormat="1" applyFont="1" applyBorder="1" applyAlignment="1" quotePrefix="1">
      <alignment/>
    </xf>
    <xf numFmtId="0" fontId="4" fillId="0" borderId="25" xfId="0" applyNumberFormat="1" applyFont="1" applyBorder="1" applyAlignment="1" quotePrefix="1">
      <alignment horizontal="center"/>
    </xf>
    <xf numFmtId="39" fontId="2" fillId="0" borderId="18" xfId="33" applyNumberFormat="1" applyFont="1" applyBorder="1" applyAlignment="1" quotePrefix="1">
      <alignment horizontal="right"/>
    </xf>
    <xf numFmtId="39" fontId="3" fillId="0" borderId="18" xfId="33" applyNumberFormat="1" applyFont="1" applyFill="1" applyBorder="1" applyAlignment="1">
      <alignment/>
    </xf>
    <xf numFmtId="39" fontId="3" fillId="0" borderId="26" xfId="33" applyNumberFormat="1" applyFont="1" applyFill="1" applyBorder="1" applyAlignment="1" quotePrefix="1">
      <alignment horizontal="right"/>
    </xf>
    <xf numFmtId="39" fontId="3" fillId="0" borderId="18" xfId="33" applyNumberFormat="1" applyFont="1" applyFill="1" applyBorder="1" applyAlignment="1" quotePrefix="1">
      <alignment horizontal="right"/>
    </xf>
    <xf numFmtId="43" fontId="3" fillId="0" borderId="18" xfId="33" applyFont="1" applyFill="1" applyBorder="1" applyAlignment="1">
      <alignment horizontal="center"/>
    </xf>
    <xf numFmtId="0" fontId="4" fillId="0" borderId="28" xfId="0" applyNumberFormat="1" applyFont="1" applyBorder="1" applyAlignment="1" quotePrefix="1">
      <alignment horizontal="center"/>
    </xf>
    <xf numFmtId="39" fontId="2" fillId="0" borderId="22" xfId="33" applyNumberFormat="1" applyFont="1" applyBorder="1" applyAlignment="1">
      <alignment horizontal="left"/>
    </xf>
    <xf numFmtId="194" fontId="3" fillId="0" borderId="0" xfId="0" applyNumberFormat="1" applyFont="1" applyFill="1" applyBorder="1" applyAlignment="1">
      <alignment/>
    </xf>
    <xf numFmtId="233" fontId="10" fillId="0" borderId="0" xfId="0" applyNumberFormat="1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43" fontId="3" fillId="0" borderId="29" xfId="33" applyFont="1" applyFill="1" applyBorder="1" applyAlignment="1">
      <alignment horizontal="center"/>
    </xf>
    <xf numFmtId="4" fontId="4" fillId="0" borderId="29" xfId="33" applyNumberFormat="1" applyFont="1" applyFill="1" applyBorder="1" applyAlignment="1" quotePrefix="1">
      <alignment horizontal="right"/>
    </xf>
    <xf numFmtId="4" fontId="4" fillId="0" borderId="13" xfId="0" applyNumberFormat="1" applyFont="1" applyBorder="1" applyAlignment="1">
      <alignment/>
    </xf>
    <xf numFmtId="4" fontId="4" fillId="0" borderId="12" xfId="33" applyNumberFormat="1" applyFont="1" applyFill="1" applyBorder="1" applyAlignment="1">
      <alignment/>
    </xf>
    <xf numFmtId="4" fontId="4" fillId="0" borderId="23" xfId="33" applyNumberFormat="1" applyFont="1" applyFill="1" applyBorder="1" applyAlignment="1">
      <alignment horizontal="center"/>
    </xf>
    <xf numFmtId="43" fontId="2" fillId="0" borderId="19" xfId="33" applyFont="1" applyBorder="1" applyAlignment="1">
      <alignment/>
    </xf>
    <xf numFmtId="43" fontId="2" fillId="0" borderId="19" xfId="0" applyNumberFormat="1" applyFont="1" applyBorder="1" applyAlignment="1">
      <alignment/>
    </xf>
    <xf numFmtId="43" fontId="2" fillId="0" borderId="19" xfId="0" applyNumberFormat="1" applyFont="1" applyFill="1" applyBorder="1" applyAlignment="1">
      <alignment/>
    </xf>
    <xf numFmtId="39" fontId="2" fillId="0" borderId="12" xfId="33" applyNumberFormat="1" applyFont="1" applyBorder="1" applyAlignment="1">
      <alignment horizontal="left"/>
    </xf>
    <xf numFmtId="39" fontId="3" fillId="0" borderId="29" xfId="33" applyNumberFormat="1" applyFont="1" applyFill="1" applyBorder="1" applyAlignment="1">
      <alignment/>
    </xf>
    <xf numFmtId="39" fontId="3" fillId="0" borderId="29" xfId="33" applyNumberFormat="1" applyFont="1" applyFill="1" applyBorder="1" applyAlignment="1" quotePrefix="1">
      <alignment horizontal="right"/>
    </xf>
    <xf numFmtId="43" fontId="9" fillId="32" borderId="20" xfId="33" applyFont="1" applyFill="1" applyBorder="1" applyAlignment="1">
      <alignment/>
    </xf>
    <xf numFmtId="43" fontId="9" fillId="32" borderId="20" xfId="0" applyNumberFormat="1" applyFont="1" applyFill="1" applyBorder="1" applyAlignment="1">
      <alignment/>
    </xf>
    <xf numFmtId="39" fontId="3" fillId="0" borderId="16" xfId="33" applyNumberFormat="1" applyFont="1" applyFill="1" applyBorder="1" applyAlignment="1">
      <alignment/>
    </xf>
    <xf numFmtId="39" fontId="3" fillId="0" borderId="0" xfId="33" applyNumberFormat="1" applyFont="1" applyFill="1" applyBorder="1" applyAlignment="1" quotePrefix="1">
      <alignment horizontal="right"/>
    </xf>
    <xf numFmtId="39" fontId="3" fillId="0" borderId="16" xfId="33" applyNumberFormat="1" applyFont="1" applyFill="1" applyBorder="1" applyAlignment="1" quotePrefix="1">
      <alignment horizontal="right"/>
    </xf>
    <xf numFmtId="4" fontId="4" fillId="0" borderId="12" xfId="0" applyNumberFormat="1" applyFont="1" applyBorder="1" applyAlignment="1" quotePrefix="1">
      <alignment/>
    </xf>
    <xf numFmtId="0" fontId="6" fillId="0" borderId="12" xfId="0" applyFont="1" applyBorder="1" applyAlignment="1">
      <alignment/>
    </xf>
    <xf numFmtId="4" fontId="4" fillId="0" borderId="12" xfId="33" applyNumberFormat="1" applyFont="1" applyBorder="1" applyAlignment="1">
      <alignment horizontal="left"/>
    </xf>
    <xf numFmtId="4" fontId="4" fillId="0" borderId="29" xfId="33" applyNumberFormat="1" applyFont="1" applyFill="1" applyBorder="1" applyAlignment="1">
      <alignment horizontal="center"/>
    </xf>
    <xf numFmtId="43" fontId="9" fillId="0" borderId="18" xfId="33" applyFont="1" applyBorder="1" applyAlignment="1">
      <alignment/>
    </xf>
    <xf numFmtId="43" fontId="9" fillId="0" borderId="18" xfId="0" applyNumberFormat="1" applyFont="1" applyBorder="1" applyAlignment="1">
      <alignment/>
    </xf>
    <xf numFmtId="4" fontId="12" fillId="0" borderId="19" xfId="33" applyNumberFormat="1" applyFont="1" applyFill="1" applyBorder="1" applyAlignment="1" quotePrefix="1">
      <alignment horizontal="right"/>
    </xf>
    <xf numFmtId="39" fontId="17" fillId="0" borderId="22" xfId="33" applyNumberFormat="1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3" fillId="0" borderId="30" xfId="0" applyFont="1" applyBorder="1" applyAlignment="1">
      <alignment/>
    </xf>
    <xf numFmtId="1" fontId="4" fillId="0" borderId="13" xfId="0" applyNumberFormat="1" applyFont="1" applyBorder="1" applyAlignment="1" quotePrefix="1">
      <alignment horizontal="center"/>
    </xf>
    <xf numFmtId="39" fontId="3" fillId="0" borderId="0" xfId="33" applyNumberFormat="1" applyFont="1" applyFill="1" applyBorder="1" applyAlignment="1">
      <alignment horizontal="right"/>
    </xf>
    <xf numFmtId="4" fontId="4" fillId="0" borderId="25" xfId="0" applyNumberFormat="1" applyFont="1" applyBorder="1" applyAlignment="1">
      <alignment/>
    </xf>
    <xf numFmtId="43" fontId="5" fillId="0" borderId="31" xfId="0" applyNumberFormat="1" applyFont="1" applyFill="1" applyBorder="1" applyAlignment="1">
      <alignment/>
    </xf>
    <xf numFmtId="4" fontId="13" fillId="0" borderId="31" xfId="33" applyNumberFormat="1" applyFont="1" applyFill="1" applyBorder="1" applyAlignment="1">
      <alignment horizontal="center"/>
    </xf>
    <xf numFmtId="0" fontId="8" fillId="0" borderId="30" xfId="0" applyFont="1" applyBorder="1" applyAlignment="1">
      <alignment/>
    </xf>
    <xf numFmtId="0" fontId="3" fillId="0" borderId="19" xfId="0" applyFont="1" applyBorder="1" applyAlignment="1">
      <alignment/>
    </xf>
    <xf numFmtId="194" fontId="9" fillId="0" borderId="17" xfId="0" applyNumberFormat="1" applyFont="1" applyBorder="1" applyAlignment="1">
      <alignment/>
    </xf>
    <xf numFmtId="39" fontId="18" fillId="0" borderId="22" xfId="33" applyNumberFormat="1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43" fontId="3" fillId="0" borderId="33" xfId="33" applyFont="1" applyFill="1" applyBorder="1" applyAlignment="1">
      <alignment horizontal="center"/>
    </xf>
    <xf numFmtId="4" fontId="12" fillId="0" borderId="12" xfId="33" applyNumberFormat="1" applyFont="1" applyFill="1" applyBorder="1" applyAlignment="1" quotePrefix="1">
      <alignment horizontal="right"/>
    </xf>
    <xf numFmtId="43" fontId="3" fillId="0" borderId="26" xfId="33" applyFont="1" applyFill="1" applyBorder="1" applyAlignment="1">
      <alignment horizontal="center"/>
    </xf>
    <xf numFmtId="0" fontId="4" fillId="0" borderId="30" xfId="0" applyFont="1" applyBorder="1" applyAlignment="1" quotePrefix="1">
      <alignment horizontal="center"/>
    </xf>
    <xf numFmtId="1" fontId="4" fillId="0" borderId="25" xfId="0" applyNumberFormat="1" applyFont="1" applyBorder="1" applyAlignment="1" quotePrefix="1">
      <alignment horizontal="center"/>
    </xf>
    <xf numFmtId="39" fontId="2" fillId="0" borderId="18" xfId="33" applyNumberFormat="1" applyFont="1" applyBorder="1" applyAlignment="1">
      <alignment horizontal="left"/>
    </xf>
    <xf numFmtId="43" fontId="3" fillId="32" borderId="31" xfId="33" applyFont="1" applyFill="1" applyBorder="1" applyAlignment="1">
      <alignment horizontal="center"/>
    </xf>
    <xf numFmtId="43" fontId="3" fillId="0" borderId="31" xfId="33" applyFont="1" applyFill="1" applyBorder="1" applyAlignment="1">
      <alignment horizontal="center"/>
    </xf>
    <xf numFmtId="4" fontId="4" fillId="0" borderId="31" xfId="33" applyNumberFormat="1" applyFont="1" applyFill="1" applyBorder="1" applyAlignment="1">
      <alignment horizontal="center"/>
    </xf>
    <xf numFmtId="39" fontId="17" fillId="0" borderId="12" xfId="33" applyNumberFormat="1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4" fontId="3" fillId="32" borderId="31" xfId="0" applyNumberFormat="1" applyFont="1" applyFill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4" fontId="4" fillId="0" borderId="31" xfId="33" applyNumberFormat="1" applyFont="1" applyFill="1" applyBorder="1" applyAlignment="1">
      <alignment horizontal="center"/>
    </xf>
    <xf numFmtId="0" fontId="14" fillId="0" borderId="3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19" xfId="0" applyFont="1" applyBorder="1" applyAlignment="1">
      <alignment/>
    </xf>
    <xf numFmtId="39" fontId="3" fillId="0" borderId="24" xfId="33" applyNumberFormat="1" applyFont="1" applyFill="1" applyBorder="1" applyAlignment="1">
      <alignment horizontal="right"/>
    </xf>
    <xf numFmtId="43" fontId="2" fillId="0" borderId="18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32" borderId="15" xfId="0" applyFont="1" applyFill="1" applyBorder="1" applyAlignment="1">
      <alignment/>
    </xf>
    <xf numFmtId="43" fontId="2" fillId="0" borderId="18" xfId="33" applyFont="1" applyBorder="1" applyAlignment="1">
      <alignment/>
    </xf>
    <xf numFmtId="43" fontId="2" fillId="0" borderId="18" xfId="0" applyNumberFormat="1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83"/>
  <sheetViews>
    <sheetView zoomScalePageLayoutView="0" workbookViewId="0" topLeftCell="A1">
      <selection activeCell="A2" sqref="A2:M2"/>
    </sheetView>
  </sheetViews>
  <sheetFormatPr defaultColWidth="9.140625" defaultRowHeight="21.75" customHeight="1"/>
  <cols>
    <col min="1" max="2" width="6.00390625" style="3" customWidth="1"/>
    <col min="3" max="3" width="5.28125" style="3" customWidth="1"/>
    <col min="4" max="4" width="17.7109375" style="3" customWidth="1"/>
    <col min="5" max="5" width="15.8515625" style="3" customWidth="1"/>
    <col min="6" max="6" width="11.00390625" style="3" customWidth="1"/>
    <col min="7" max="7" width="44.00390625" style="2" customWidth="1"/>
    <col min="8" max="8" width="16.140625" style="42" customWidth="1"/>
    <col min="9" max="9" width="15.28125" style="42" customWidth="1"/>
    <col min="10" max="10" width="14.140625" style="42" customWidth="1"/>
    <col min="11" max="11" width="10.140625" style="42" customWidth="1"/>
    <col min="12" max="12" width="14.421875" style="3" customWidth="1"/>
    <col min="13" max="13" width="8.57421875" style="3" customWidth="1"/>
    <col min="14" max="16384" width="9.140625" style="3" customWidth="1"/>
  </cols>
  <sheetData>
    <row r="1" spans="1:13" ht="33.75" customHeight="1">
      <c r="A1" s="160" t="s">
        <v>29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5" ht="29.25" customHeight="1">
      <c r="A2" s="160" t="s">
        <v>86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42"/>
      <c r="O2" s="42"/>
    </row>
    <row r="3" ht="8.25" customHeight="1">
      <c r="L3" s="42"/>
    </row>
    <row r="4" spans="1:13" ht="44.25" customHeight="1">
      <c r="A4" s="35" t="s">
        <v>21</v>
      </c>
      <c r="B4" s="161" t="s">
        <v>2</v>
      </c>
      <c r="C4" s="161"/>
      <c r="D4" s="36" t="s">
        <v>4</v>
      </c>
      <c r="E4" s="36" t="s">
        <v>19</v>
      </c>
      <c r="F4" s="36" t="s">
        <v>20</v>
      </c>
      <c r="G4" s="37" t="s">
        <v>9</v>
      </c>
      <c r="H4" s="43" t="s">
        <v>5</v>
      </c>
      <c r="I4" s="49" t="s">
        <v>6</v>
      </c>
      <c r="J4" s="43" t="s">
        <v>18</v>
      </c>
      <c r="K4" s="54" t="s">
        <v>23</v>
      </c>
      <c r="L4" s="43" t="s">
        <v>7</v>
      </c>
      <c r="M4" s="43" t="s">
        <v>8</v>
      </c>
    </row>
    <row r="5" spans="1:13" ht="21.75" customHeight="1" thickBot="1">
      <c r="A5" s="17" t="s">
        <v>22</v>
      </c>
      <c r="B5" s="17"/>
      <c r="C5" s="5"/>
      <c r="D5" s="12"/>
      <c r="E5" s="12"/>
      <c r="F5" s="12"/>
      <c r="G5" s="13"/>
      <c r="H5" s="44">
        <f>+H7+H72</f>
        <v>29922644</v>
      </c>
      <c r="I5" s="44">
        <f>+I7+I72</f>
        <v>28139516.03</v>
      </c>
      <c r="J5" s="44">
        <f>+J7+J72</f>
        <v>0</v>
      </c>
      <c r="K5" s="44">
        <f>+K7+K72</f>
        <v>0</v>
      </c>
      <c r="L5" s="44">
        <f>+L7+L72</f>
        <v>1783127.970000004</v>
      </c>
      <c r="M5" s="60">
        <f>I5/H5*100</f>
        <v>94.04087429573403</v>
      </c>
    </row>
    <row r="6" spans="1:13" ht="21.75" customHeight="1" thickTop="1">
      <c r="A6" s="9"/>
      <c r="B6" s="10"/>
      <c r="C6" s="6"/>
      <c r="D6" s="32"/>
      <c r="E6" s="120"/>
      <c r="F6" s="39"/>
      <c r="G6" s="91"/>
      <c r="H6" s="117"/>
      <c r="I6" s="132"/>
      <c r="J6" s="119"/>
      <c r="K6" s="59"/>
      <c r="L6" s="66"/>
      <c r="M6" s="16"/>
    </row>
    <row r="7" spans="1:13" ht="21.75" customHeight="1" thickBot="1">
      <c r="A7" s="11"/>
      <c r="B7" s="9"/>
      <c r="C7" s="6"/>
      <c r="D7" s="18" t="s">
        <v>26</v>
      </c>
      <c r="E7" s="121" t="s">
        <v>27</v>
      </c>
      <c r="F7" s="11"/>
      <c r="G7" s="14"/>
      <c r="H7" s="44">
        <f>+H9+H22+H67</f>
        <v>29018644</v>
      </c>
      <c r="I7" s="44">
        <f>+I9+I22+I67</f>
        <v>28139516.03</v>
      </c>
      <c r="J7" s="44">
        <f>+J9+J22+J67</f>
        <v>0</v>
      </c>
      <c r="K7" s="44">
        <f>+K9+K22+K67</f>
        <v>0</v>
      </c>
      <c r="L7" s="44">
        <f>+L9+L22+L67</f>
        <v>879127.970000004</v>
      </c>
      <c r="M7" s="60">
        <f>I7/H7*100</f>
        <v>96.97047191453882</v>
      </c>
    </row>
    <row r="8" spans="1:13" ht="21.75" customHeight="1" thickTop="1">
      <c r="A8" s="11"/>
      <c r="B8" s="9"/>
      <c r="C8" s="6"/>
      <c r="D8" s="11"/>
      <c r="E8" s="11"/>
      <c r="F8" s="11"/>
      <c r="G8" s="14"/>
      <c r="H8" s="53"/>
      <c r="I8" s="52"/>
      <c r="J8" s="45"/>
      <c r="K8" s="45"/>
      <c r="L8" s="45"/>
      <c r="M8" s="45"/>
    </row>
    <row r="9" spans="1:13" ht="21.75" customHeight="1" thickBot="1">
      <c r="A9" s="30" t="s">
        <v>1</v>
      </c>
      <c r="B9" s="30"/>
      <c r="C9" s="31"/>
      <c r="D9" s="11"/>
      <c r="E9" s="11"/>
      <c r="F9" s="11"/>
      <c r="G9" s="112" t="s">
        <v>83</v>
      </c>
      <c r="H9" s="83">
        <f>+H10+H14+H16</f>
        <v>903725</v>
      </c>
      <c r="I9" s="83">
        <f>+I10+I14+I16</f>
        <v>810738.9599999998</v>
      </c>
      <c r="J9" s="46">
        <f>+J10+J14+J16</f>
        <v>0</v>
      </c>
      <c r="K9" s="46">
        <f>+K10+K14+K16</f>
        <v>0</v>
      </c>
      <c r="L9" s="46">
        <f>+L10+L14+L16</f>
        <v>92986.04000000015</v>
      </c>
      <c r="M9" s="108">
        <f>I9/H9*100</f>
        <v>89.71080361835733</v>
      </c>
    </row>
    <row r="10" spans="1:13" s="4" customFormat="1" ht="21.75" customHeight="1" thickTop="1">
      <c r="A10" s="86">
        <v>1</v>
      </c>
      <c r="B10" s="10">
        <v>22001</v>
      </c>
      <c r="C10" s="7">
        <v>300</v>
      </c>
      <c r="D10" s="32" t="s">
        <v>30</v>
      </c>
      <c r="E10" s="106" t="s">
        <v>0</v>
      </c>
      <c r="F10" s="39">
        <v>5611200</v>
      </c>
      <c r="G10" s="122" t="s">
        <v>25</v>
      </c>
      <c r="H10" s="87">
        <f>100000+62600</f>
        <v>162600</v>
      </c>
      <c r="I10" s="88">
        <f>+I11+I12+I13</f>
        <v>136231.09999999998</v>
      </c>
      <c r="J10" s="126">
        <f>SUM(J11:J13)</f>
        <v>0</v>
      </c>
      <c r="K10" s="55"/>
      <c r="L10" s="55">
        <f>+H10-I10-J10-K10</f>
        <v>26368.900000000023</v>
      </c>
      <c r="M10" s="62">
        <f>I10/H10*100</f>
        <v>83.78296432964328</v>
      </c>
    </row>
    <row r="11" spans="1:13" s="4" customFormat="1" ht="21.75" customHeight="1">
      <c r="A11" s="86"/>
      <c r="B11" s="10"/>
      <c r="C11" s="7"/>
      <c r="D11" s="32"/>
      <c r="E11" s="32"/>
      <c r="F11" s="39">
        <v>5611210</v>
      </c>
      <c r="G11" s="8"/>
      <c r="H11" s="87"/>
      <c r="I11" s="88"/>
      <c r="J11" s="55"/>
      <c r="K11" s="55"/>
      <c r="L11" s="62"/>
      <c r="M11" s="62"/>
    </row>
    <row r="12" spans="1:13" s="4" customFormat="1" ht="21.75" customHeight="1">
      <c r="A12" s="86"/>
      <c r="B12" s="10"/>
      <c r="C12" s="7"/>
      <c r="D12" s="32"/>
      <c r="E12" s="32"/>
      <c r="F12" s="39">
        <v>5611220</v>
      </c>
      <c r="G12" s="8"/>
      <c r="H12" s="87"/>
      <c r="I12" s="89">
        <f>5544+3900+3500+950+3488+8935+7444.7+3677+2415.1+10726.1+8770+7327+67314.2</f>
        <v>133991.09999999998</v>
      </c>
      <c r="J12" s="55"/>
      <c r="K12" s="55"/>
      <c r="L12" s="62"/>
      <c r="M12" s="62"/>
    </row>
    <row r="13" spans="1:13" s="4" customFormat="1" ht="21.75" customHeight="1">
      <c r="A13" s="86"/>
      <c r="B13" s="10"/>
      <c r="C13" s="7"/>
      <c r="D13" s="32"/>
      <c r="E13" s="32"/>
      <c r="F13" s="39">
        <v>5611230</v>
      </c>
      <c r="G13" s="8"/>
      <c r="H13" s="87"/>
      <c r="I13" s="90">
        <v>2240</v>
      </c>
      <c r="J13" s="55"/>
      <c r="K13" s="55"/>
      <c r="L13" s="63"/>
      <c r="M13" s="63"/>
    </row>
    <row r="14" spans="1:13" ht="21.75" customHeight="1">
      <c r="A14" s="86"/>
      <c r="B14" s="10">
        <v>22001</v>
      </c>
      <c r="C14" s="7">
        <v>450</v>
      </c>
      <c r="D14" s="32" t="s">
        <v>30</v>
      </c>
      <c r="E14" s="106" t="s">
        <v>0</v>
      </c>
      <c r="F14" s="39">
        <v>5611240</v>
      </c>
      <c r="G14" s="112" t="s">
        <v>24</v>
      </c>
      <c r="H14" s="47">
        <f>260300+277000-90460+1485</f>
        <v>448325</v>
      </c>
      <c r="I14" s="50">
        <f>888.93+44900.31+526.51+438.7+316+4424.46+862.96+1096.42+4120.9+2811.49+700.37+1061.17+28384.19+536+768.37+645.21+566.03+3646.14+954+678.13+27679.7+1065.18+5238.59+3400.6+700.85+325.82+1057.8+321+1044.38+19381.01+2761.52+730+1111.23+4693.13+794.9+794.9+16850.37+321+3512.28+452+1100.13+1226.06+3601.83+332.96+665.54+21481.75+1022.29+1068.23+2812.39+636.65+4467.36+528+1032.84+1209.43+28862.88+457+3462.52+4477.32+556.4+321+6527.43+582+520.09+501.83+4403.43+22546.1+1268.62+1057.46+321+7058.19+536+3787.59+631.3+631.3+1033.3+4514.35+447.26+1387.08+9659.6+27337.84+321+447.26+4323.98+19635.01+1261.1+9899.48+544+1019.49+631.3+631.3+3834.02+631.3+631.3+631.3+631.3+321+3485.74+594.92+4482.4+17370.42+8966.6+1036.74+540</f>
        <v>446507.85999999987</v>
      </c>
      <c r="J14" s="56"/>
      <c r="K14" s="55"/>
      <c r="L14" s="57">
        <f>+H14-I14-J14-K14</f>
        <v>1817.1400000001304</v>
      </c>
      <c r="M14" s="63">
        <f>I14/H14*100</f>
        <v>99.5946824290414</v>
      </c>
    </row>
    <row r="15" spans="1:13" ht="21.75" customHeight="1">
      <c r="A15" s="20"/>
      <c r="B15" s="10"/>
      <c r="C15" s="6"/>
      <c r="D15" s="32"/>
      <c r="E15" s="32"/>
      <c r="F15" s="39"/>
      <c r="G15" s="112" t="s">
        <v>82</v>
      </c>
      <c r="H15" s="75"/>
      <c r="I15" s="158"/>
      <c r="J15" s="68"/>
      <c r="K15" s="55"/>
      <c r="L15" s="63"/>
      <c r="M15" s="63"/>
    </row>
    <row r="16" spans="1:13" s="4" customFormat="1" ht="21.75" customHeight="1">
      <c r="A16" s="86">
        <v>2</v>
      </c>
      <c r="B16" s="10">
        <v>22001</v>
      </c>
      <c r="C16" s="7">
        <v>300</v>
      </c>
      <c r="D16" s="32" t="s">
        <v>30</v>
      </c>
      <c r="E16" s="106" t="s">
        <v>0</v>
      </c>
      <c r="F16" s="39">
        <v>5611200</v>
      </c>
      <c r="G16" s="122" t="s">
        <v>31</v>
      </c>
      <c r="H16" s="87">
        <f>244800+48000</f>
        <v>292800</v>
      </c>
      <c r="I16" s="142">
        <f>+I17+I18+I19</f>
        <v>228000</v>
      </c>
      <c r="J16" s="88">
        <f>SUM(J17:J19)</f>
        <v>0</v>
      </c>
      <c r="K16" s="55"/>
      <c r="L16" s="57">
        <f>H16-I16-J16</f>
        <v>64800</v>
      </c>
      <c r="M16" s="63">
        <f>I16/H16*100</f>
        <v>77.8688524590164</v>
      </c>
    </row>
    <row r="17" spans="1:13" s="4" customFormat="1" ht="21.75" customHeight="1">
      <c r="A17" s="86"/>
      <c r="B17" s="10"/>
      <c r="C17" s="7"/>
      <c r="D17" s="32"/>
      <c r="E17" s="32"/>
      <c r="F17" s="39">
        <v>5611210</v>
      </c>
      <c r="G17" s="8"/>
      <c r="H17" s="87"/>
      <c r="I17" s="57"/>
      <c r="J17" s="55"/>
      <c r="K17" s="55"/>
      <c r="L17" s="55"/>
      <c r="M17" s="62"/>
    </row>
    <row r="18" spans="1:13" s="4" customFormat="1" ht="21.75" customHeight="1">
      <c r="A18" s="86"/>
      <c r="B18" s="10"/>
      <c r="C18" s="7"/>
      <c r="D18" s="32"/>
      <c r="E18" s="32"/>
      <c r="F18" s="39">
        <v>5611220</v>
      </c>
      <c r="G18" s="8"/>
      <c r="H18" s="87"/>
      <c r="I18" s="89">
        <f>20400+20400+20400+20400+20400+20400+20400+20400+12000+20400+12000+20400</f>
        <v>228000</v>
      </c>
      <c r="J18" s="55"/>
      <c r="K18" s="55"/>
      <c r="L18" s="55"/>
      <c r="M18" s="62"/>
    </row>
    <row r="19" spans="1:13" s="4" customFormat="1" ht="21.75" customHeight="1">
      <c r="A19" s="86"/>
      <c r="B19" s="10"/>
      <c r="C19" s="7"/>
      <c r="D19" s="32"/>
      <c r="E19" s="32"/>
      <c r="F19" s="39">
        <v>5611230</v>
      </c>
      <c r="G19" s="8"/>
      <c r="H19" s="87"/>
      <c r="I19" s="90"/>
      <c r="J19" s="55"/>
      <c r="K19" s="55"/>
      <c r="L19" s="55"/>
      <c r="M19" s="62"/>
    </row>
    <row r="20" spans="1:13" s="4" customFormat="1" ht="21.75" customHeight="1">
      <c r="A20" s="86"/>
      <c r="B20" s="10"/>
      <c r="C20" s="7"/>
      <c r="D20" s="32"/>
      <c r="E20" s="32"/>
      <c r="F20" s="39"/>
      <c r="G20" s="8"/>
      <c r="H20" s="81"/>
      <c r="I20" s="82"/>
      <c r="J20" s="59"/>
      <c r="K20" s="59"/>
      <c r="L20" s="59"/>
      <c r="M20" s="66"/>
    </row>
    <row r="21" spans="1:13" s="4" customFormat="1" ht="21.75" customHeight="1">
      <c r="A21" s="86"/>
      <c r="B21" s="10"/>
      <c r="C21" s="7"/>
      <c r="D21" s="32"/>
      <c r="E21" s="32"/>
      <c r="F21" s="39"/>
      <c r="G21" s="8"/>
      <c r="H21" s="81"/>
      <c r="I21" s="82"/>
      <c r="J21" s="59"/>
      <c r="K21" s="59"/>
      <c r="L21" s="59"/>
      <c r="M21" s="66"/>
    </row>
    <row r="22" spans="1:13" ht="21.75" customHeight="1" thickBot="1">
      <c r="A22" s="33" t="s">
        <v>10</v>
      </c>
      <c r="B22" s="30"/>
      <c r="C22" s="31"/>
      <c r="D22" s="11"/>
      <c r="E22" s="11"/>
      <c r="F22" s="11"/>
      <c r="G22" s="85"/>
      <c r="H22" s="83">
        <f>+H24+H28+H32+H63+H52+H55+H59</f>
        <v>27913519</v>
      </c>
      <c r="I22" s="83">
        <f>+I24+I28+I32+I63+I52+I55+I59</f>
        <v>27133577.07</v>
      </c>
      <c r="J22" s="46">
        <f>+J24+J28+J32+J63+J52+J55+J59</f>
        <v>0</v>
      </c>
      <c r="K22" s="46">
        <f>+K24+K28+K32+K63+K52+K55+K59</f>
        <v>0</v>
      </c>
      <c r="L22" s="46">
        <f>+L24+L28+L32+L63+L52+L55+L59</f>
        <v>779941.9300000039</v>
      </c>
      <c r="M22" s="61">
        <f>I22/H22*100</f>
        <v>97.20586311600483</v>
      </c>
    </row>
    <row r="23" spans="1:13" ht="21.75" customHeight="1" thickTop="1">
      <c r="A23" s="33"/>
      <c r="B23" s="30"/>
      <c r="C23" s="31"/>
      <c r="D23" s="11"/>
      <c r="E23" s="11"/>
      <c r="F23" s="11"/>
      <c r="G23" s="85"/>
      <c r="H23" s="104"/>
      <c r="I23" s="141"/>
      <c r="J23" s="104"/>
      <c r="K23" s="104"/>
      <c r="L23" s="104"/>
      <c r="M23" s="123"/>
    </row>
    <row r="24" spans="1:13" s="1" customFormat="1" ht="23.25" customHeight="1" thickBot="1">
      <c r="A24" s="40"/>
      <c r="B24" s="10"/>
      <c r="C24" s="6"/>
      <c r="D24" s="76" t="s">
        <v>52</v>
      </c>
      <c r="E24" s="15"/>
      <c r="F24" s="15"/>
      <c r="G24" s="19"/>
      <c r="H24" s="84">
        <f>+H25</f>
        <v>2599919</v>
      </c>
      <c r="I24" s="84">
        <f>+I25</f>
        <v>2599917.55</v>
      </c>
      <c r="J24" s="48">
        <f>+J25</f>
        <v>0</v>
      </c>
      <c r="K24" s="48">
        <f>+K25</f>
        <v>0</v>
      </c>
      <c r="L24" s="48">
        <f>+L25</f>
        <v>1.4500000001862645</v>
      </c>
      <c r="M24" s="108">
        <f>I24/H24*100</f>
        <v>99.99994422903174</v>
      </c>
    </row>
    <row r="25" spans="1:13" ht="21.75" customHeight="1" thickTop="1">
      <c r="A25" s="41">
        <v>1</v>
      </c>
      <c r="B25" s="10">
        <v>22001</v>
      </c>
      <c r="C25" s="7">
        <v>600</v>
      </c>
      <c r="D25" s="131" t="s">
        <v>53</v>
      </c>
      <c r="E25" s="106" t="s">
        <v>34</v>
      </c>
      <c r="F25" s="99">
        <v>5611320</v>
      </c>
      <c r="G25" s="100" t="s">
        <v>54</v>
      </c>
      <c r="H25" s="113">
        <v>2599919</v>
      </c>
      <c r="I25" s="114">
        <f>1174628.64+119712.64+119712.63+1185863.64</f>
        <v>2599917.55</v>
      </c>
      <c r="J25" s="114"/>
      <c r="K25" s="105"/>
      <c r="L25" s="105">
        <f>+H25-I25-J25-K25</f>
        <v>1.4500000001862645</v>
      </c>
      <c r="M25" s="123">
        <f>I25/H25*100</f>
        <v>99.99994422903174</v>
      </c>
    </row>
    <row r="26" spans="1:13" ht="21.75" customHeight="1">
      <c r="A26" s="41"/>
      <c r="B26" s="10"/>
      <c r="C26" s="7"/>
      <c r="D26" s="131"/>
      <c r="E26" s="106"/>
      <c r="F26" s="99"/>
      <c r="G26" s="100"/>
      <c r="H26" s="47"/>
      <c r="I26" s="50"/>
      <c r="J26" s="56"/>
      <c r="K26" s="57"/>
      <c r="L26" s="57"/>
      <c r="M26" s="63"/>
    </row>
    <row r="27" spans="1:13" ht="21.75" customHeight="1">
      <c r="A27" s="33"/>
      <c r="B27" s="30"/>
      <c r="C27" s="31"/>
      <c r="D27" s="11"/>
      <c r="E27" s="11"/>
      <c r="F27" s="11"/>
      <c r="G27" s="85"/>
      <c r="H27" s="98"/>
      <c r="I27" s="143"/>
      <c r="J27" s="98"/>
      <c r="K27" s="98"/>
      <c r="L27" s="98"/>
      <c r="M27" s="64"/>
    </row>
    <row r="28" spans="1:13" s="1" customFormat="1" ht="23.25" customHeight="1" thickBot="1">
      <c r="A28" s="40"/>
      <c r="B28" s="10"/>
      <c r="C28" s="6"/>
      <c r="D28" s="76" t="s">
        <v>41</v>
      </c>
      <c r="E28" s="15"/>
      <c r="F28" s="15"/>
      <c r="G28" s="19"/>
      <c r="H28" s="84">
        <f>+H29</f>
        <v>2403000</v>
      </c>
      <c r="I28" s="84">
        <f>+I29</f>
        <v>2400426.3200000003</v>
      </c>
      <c r="J28" s="48">
        <f>+J29</f>
        <v>0</v>
      </c>
      <c r="K28" s="48">
        <f>+K29</f>
        <v>0</v>
      </c>
      <c r="L28" s="48">
        <f>+L29</f>
        <v>2573.679999999702</v>
      </c>
      <c r="M28" s="108">
        <f>I28/H28*100</f>
        <v>99.89289721181858</v>
      </c>
    </row>
    <row r="29" spans="1:13" ht="21.75" customHeight="1" thickTop="1">
      <c r="A29" s="41">
        <v>1</v>
      </c>
      <c r="B29" s="10">
        <v>22001</v>
      </c>
      <c r="C29" s="7">
        <v>600</v>
      </c>
      <c r="D29" s="131" t="s">
        <v>42</v>
      </c>
      <c r="E29" s="106" t="s">
        <v>34</v>
      </c>
      <c r="F29" s="99">
        <v>5611320</v>
      </c>
      <c r="G29" s="100" t="s">
        <v>28</v>
      </c>
      <c r="H29" s="113">
        <v>2403000</v>
      </c>
      <c r="I29" s="114">
        <f>18955+98670+12455+100170+98221.41+17790+272620+482847.03+338632.08+148915.2+19305+45433+152811+93576.6+59884+144200+87878+3780+89000+90780+20305+4198</f>
        <v>2400426.3200000003</v>
      </c>
      <c r="J29" s="114"/>
      <c r="K29" s="105"/>
      <c r="L29" s="105">
        <f>+H29-I29-J29-K29</f>
        <v>2573.679999999702</v>
      </c>
      <c r="M29" s="123">
        <f>I29/H29*100</f>
        <v>99.89289721181858</v>
      </c>
    </row>
    <row r="30" spans="1:13" ht="21.75" customHeight="1">
      <c r="A30" s="41"/>
      <c r="B30" s="10"/>
      <c r="C30" s="7"/>
      <c r="D30" s="131"/>
      <c r="E30" s="106"/>
      <c r="F30" s="99"/>
      <c r="G30" s="100" t="s">
        <v>43</v>
      </c>
      <c r="H30" s="47"/>
      <c r="I30" s="56"/>
      <c r="J30" s="56"/>
      <c r="K30" s="57"/>
      <c r="L30" s="57"/>
      <c r="M30" s="63"/>
    </row>
    <row r="31" spans="1:13" ht="21.75" customHeight="1">
      <c r="A31" s="38"/>
      <c r="B31" s="73"/>
      <c r="C31" s="74"/>
      <c r="D31" s="145"/>
      <c r="E31" s="133"/>
      <c r="F31" s="93"/>
      <c r="G31" s="146"/>
      <c r="H31" s="95"/>
      <c r="I31" s="97"/>
      <c r="J31" s="97"/>
      <c r="K31" s="58"/>
      <c r="L31" s="58"/>
      <c r="M31" s="64"/>
    </row>
    <row r="32" spans="1:13" s="1" customFormat="1" ht="23.25" customHeight="1" thickBot="1">
      <c r="A32" s="151"/>
      <c r="B32" s="144"/>
      <c r="C32" s="128"/>
      <c r="D32" s="155" t="s">
        <v>35</v>
      </c>
      <c r="E32" s="156"/>
      <c r="F32" s="156"/>
      <c r="G32" s="157"/>
      <c r="H32" s="152">
        <f>SUM(H33:H50)</f>
        <v>17364000</v>
      </c>
      <c r="I32" s="152">
        <f>SUM(I33:I50)</f>
        <v>16738962.339999996</v>
      </c>
      <c r="J32" s="153"/>
      <c r="K32" s="153">
        <f>SUM(K33:K50)</f>
        <v>0</v>
      </c>
      <c r="L32" s="153">
        <f>+H32-I32-J32-K32</f>
        <v>625037.6600000039</v>
      </c>
      <c r="M32" s="154">
        <f aca="true" t="shared" si="0" ref="M32:M40">I32/H32*100</f>
        <v>96.40038205482605</v>
      </c>
    </row>
    <row r="33" spans="1:13" ht="21.75" customHeight="1" thickTop="1">
      <c r="A33" s="41">
        <v>1</v>
      </c>
      <c r="B33" s="10">
        <v>22001</v>
      </c>
      <c r="C33" s="7">
        <v>600</v>
      </c>
      <c r="D33" s="131" t="s">
        <v>36</v>
      </c>
      <c r="E33" s="106" t="s">
        <v>0</v>
      </c>
      <c r="F33" s="99">
        <v>5611320</v>
      </c>
      <c r="G33" s="100" t="s">
        <v>37</v>
      </c>
      <c r="H33" s="113">
        <v>634200</v>
      </c>
      <c r="I33" s="114">
        <f>22291.2+39800+37152+44814.6+40635+18576+43885.8+9752.4+79260+45975.6+10216.8+48065.4+23220+50770.5+53406</f>
        <v>567821.3</v>
      </c>
      <c r="J33" s="114"/>
      <c r="K33" s="105"/>
      <c r="L33" s="105">
        <f aca="true" t="shared" si="1" ref="L33:L40">+H33-I33-J33-K33</f>
        <v>66378.69999999995</v>
      </c>
      <c r="M33" s="123">
        <f t="shared" si="0"/>
        <v>89.53347524440241</v>
      </c>
    </row>
    <row r="34" spans="1:13" ht="21.75" customHeight="1">
      <c r="A34" s="41">
        <v>2</v>
      </c>
      <c r="B34" s="10">
        <v>22001</v>
      </c>
      <c r="C34" s="7">
        <v>600</v>
      </c>
      <c r="D34" s="131" t="s">
        <v>36</v>
      </c>
      <c r="E34" s="106" t="s">
        <v>0</v>
      </c>
      <c r="F34" s="99">
        <v>5611320</v>
      </c>
      <c r="G34" s="100" t="s">
        <v>38</v>
      </c>
      <c r="H34" s="47">
        <v>1023400</v>
      </c>
      <c r="I34" s="56">
        <f>92580+56192.4+53638.2+3780+40867.2+61140+14418+63032+66183.6+99870+2534+83894.8+156903.8+71624+3715.2+78568+30308.45</f>
        <v>979249.6499999999</v>
      </c>
      <c r="J34" s="56"/>
      <c r="K34" s="57"/>
      <c r="L34" s="57">
        <f t="shared" si="1"/>
        <v>44150.35000000009</v>
      </c>
      <c r="M34" s="63">
        <f t="shared" si="0"/>
        <v>95.68591459839749</v>
      </c>
    </row>
    <row r="35" spans="1:13" ht="21.75" customHeight="1">
      <c r="A35" s="41">
        <v>3</v>
      </c>
      <c r="B35" s="10">
        <v>22001</v>
      </c>
      <c r="C35" s="7">
        <v>600</v>
      </c>
      <c r="D35" s="131" t="s">
        <v>36</v>
      </c>
      <c r="E35" s="106" t="s">
        <v>0</v>
      </c>
      <c r="F35" s="99">
        <v>5611320</v>
      </c>
      <c r="G35" s="127" t="s">
        <v>39</v>
      </c>
      <c r="H35" s="47">
        <v>283700</v>
      </c>
      <c r="I35" s="56">
        <f>29260+36408+34864.2+5607+36524.4+5874+12308+27864+5340+29257.2+5607+8113+3102+10216.8+10681.2+9288+10681.2</f>
        <v>280996.00000000006</v>
      </c>
      <c r="J35" s="56"/>
      <c r="K35" s="57"/>
      <c r="L35" s="57">
        <f t="shared" si="1"/>
        <v>2703.999999999942</v>
      </c>
      <c r="M35" s="63">
        <f t="shared" si="0"/>
        <v>99.04688050757845</v>
      </c>
    </row>
    <row r="36" spans="1:13" ht="21.75" customHeight="1">
      <c r="A36" s="41">
        <v>4</v>
      </c>
      <c r="B36" s="10">
        <v>22001</v>
      </c>
      <c r="C36" s="7">
        <v>600</v>
      </c>
      <c r="D36" s="131" t="s">
        <v>36</v>
      </c>
      <c r="E36" s="106" t="s">
        <v>0</v>
      </c>
      <c r="F36" s="99">
        <v>5611320</v>
      </c>
      <c r="G36" s="139" t="s">
        <v>40</v>
      </c>
      <c r="H36" s="47">
        <v>754700</v>
      </c>
      <c r="I36" s="56">
        <f>19272.6+29025+3566+10300+27399.6+9288+20433.6+27399.6+17647.2+5600+9000+5400+9000+17879.4+26703+38268+18576+27631.8+5700+9700+28328.4+18808.2+7500+4500+5100+8500+30882.6+20201.4+1674+5400+9000+26703+17879.4+5000+928.8+10000+31114.8+19737+12852</f>
        <v>601899.4000000001</v>
      </c>
      <c r="J36" s="56"/>
      <c r="K36" s="57"/>
      <c r="L36" s="57">
        <f t="shared" si="1"/>
        <v>152800.59999999986</v>
      </c>
      <c r="M36" s="63">
        <f t="shared" si="0"/>
        <v>79.75346495296147</v>
      </c>
    </row>
    <row r="37" spans="1:13" ht="21.75" customHeight="1">
      <c r="A37" s="41">
        <v>5</v>
      </c>
      <c r="B37" s="10">
        <v>22001</v>
      </c>
      <c r="C37" s="7">
        <v>600</v>
      </c>
      <c r="D37" s="131" t="s">
        <v>36</v>
      </c>
      <c r="E37" s="106" t="s">
        <v>0</v>
      </c>
      <c r="F37" s="99">
        <v>5611320</v>
      </c>
      <c r="G37" s="139" t="s">
        <v>46</v>
      </c>
      <c r="H37" s="47">
        <v>430000</v>
      </c>
      <c r="I37" s="50">
        <f>14628.6+10216.8+19305+45260+3089.3+9288+259790+9752.4+10216.8+10681.2+466+622.15</f>
        <v>393316.25000000006</v>
      </c>
      <c r="J37" s="56"/>
      <c r="K37" s="57"/>
      <c r="L37" s="57">
        <f t="shared" si="1"/>
        <v>36683.74999999994</v>
      </c>
      <c r="M37" s="63">
        <f t="shared" si="0"/>
        <v>91.46889534883722</v>
      </c>
    </row>
    <row r="38" spans="1:13" ht="21.75" customHeight="1">
      <c r="A38" s="41">
        <v>6</v>
      </c>
      <c r="B38" s="10">
        <v>22001</v>
      </c>
      <c r="C38" s="7">
        <v>600</v>
      </c>
      <c r="D38" s="131" t="s">
        <v>36</v>
      </c>
      <c r="E38" s="106" t="s">
        <v>0</v>
      </c>
      <c r="F38" s="99">
        <v>5611320</v>
      </c>
      <c r="G38" s="139" t="s">
        <v>47</v>
      </c>
      <c r="H38" s="47">
        <v>334000</v>
      </c>
      <c r="I38" s="50">
        <f>31385+11593.8+30247+99700+29756+8140+8640+9940</f>
        <v>229401.8</v>
      </c>
      <c r="J38" s="56"/>
      <c r="K38" s="57"/>
      <c r="L38" s="57">
        <f t="shared" si="1"/>
        <v>104598.20000000001</v>
      </c>
      <c r="M38" s="63">
        <f t="shared" si="0"/>
        <v>68.6831736526946</v>
      </c>
    </row>
    <row r="39" spans="1:13" ht="21.75" customHeight="1">
      <c r="A39" s="41">
        <v>7</v>
      </c>
      <c r="B39" s="10">
        <v>22001</v>
      </c>
      <c r="C39" s="7">
        <v>600</v>
      </c>
      <c r="D39" s="131" t="s">
        <v>36</v>
      </c>
      <c r="E39" s="106" t="s">
        <v>0</v>
      </c>
      <c r="F39" s="99">
        <v>5611320</v>
      </c>
      <c r="G39" s="100" t="s">
        <v>48</v>
      </c>
      <c r="H39" s="47">
        <v>1434000</v>
      </c>
      <c r="I39" s="50">
        <f>19504.8+99842+48912+243936.06+89637.6+10420+284204+40867.2+158475.4+234634.98+37152+5792+41099.4+72678+34632+11145.6+984</f>
        <v>1433917.04</v>
      </c>
      <c r="J39" s="56"/>
      <c r="K39" s="57"/>
      <c r="L39" s="57">
        <f t="shared" si="1"/>
        <v>82.95999999996275</v>
      </c>
      <c r="M39" s="63">
        <f t="shared" si="0"/>
        <v>99.99421478382148</v>
      </c>
    </row>
    <row r="40" spans="1:13" ht="21.75" customHeight="1">
      <c r="A40" s="41">
        <v>8</v>
      </c>
      <c r="B40" s="10">
        <v>22001</v>
      </c>
      <c r="C40" s="7">
        <v>600</v>
      </c>
      <c r="D40" s="131" t="s">
        <v>36</v>
      </c>
      <c r="E40" s="106" t="s">
        <v>0</v>
      </c>
      <c r="F40" s="99">
        <v>5611320</v>
      </c>
      <c r="G40" s="100" t="s">
        <v>59</v>
      </c>
      <c r="H40" s="80">
        <v>2103000</v>
      </c>
      <c r="I40" s="78">
        <f>38866+42492.6+80479+49137.3+840+17930+70055+34830+15325.2+182277+4420+75000+168052+9300+3680+70000+176472+98464+96187+357000+4200+185760+9300+78500+119223+74304+4620+9380+22100+4620</f>
        <v>2102814.1</v>
      </c>
      <c r="J40" s="79"/>
      <c r="K40" s="72"/>
      <c r="L40" s="72">
        <f t="shared" si="1"/>
        <v>185.89999999990687</v>
      </c>
      <c r="M40" s="65">
        <f t="shared" si="0"/>
        <v>99.99116024726582</v>
      </c>
    </row>
    <row r="41" spans="1:13" ht="21.75" customHeight="1">
      <c r="A41" s="41">
        <v>9</v>
      </c>
      <c r="B41" s="10">
        <v>22001</v>
      </c>
      <c r="C41" s="7">
        <v>600</v>
      </c>
      <c r="D41" s="131" t="s">
        <v>36</v>
      </c>
      <c r="E41" s="106" t="s">
        <v>0</v>
      </c>
      <c r="F41" s="99">
        <v>5611320</v>
      </c>
      <c r="G41" s="100" t="s">
        <v>68</v>
      </c>
      <c r="H41" s="80">
        <v>2330000</v>
      </c>
      <c r="I41" s="78">
        <f>27167.4+42449+58050+14628.6+27399.6+5340+5526+86490.25+98464+98464+1116917.5+18900+19500+66710.4+19504.8+64655.4+28096.2+19500+6000+17957+14347.8+3940+9800+36390+37848+19500+6000+16254+3300+25500+4500+20176+32043.6+58006+332.4+26000+50708.96</f>
        <v>2206366.9099999997</v>
      </c>
      <c r="J41" s="79"/>
      <c r="K41" s="72"/>
      <c r="L41" s="72">
        <f>+H41-I41-J41-K41</f>
        <v>123633.09000000032</v>
      </c>
      <c r="M41" s="65">
        <f>I41/H41*100</f>
        <v>94.69385879828324</v>
      </c>
    </row>
    <row r="42" spans="1:13" ht="21.75" customHeight="1">
      <c r="A42" s="41"/>
      <c r="B42" s="10"/>
      <c r="C42" s="7"/>
      <c r="D42" s="131"/>
      <c r="E42" s="106"/>
      <c r="F42" s="99"/>
      <c r="G42" s="100" t="s">
        <v>69</v>
      </c>
      <c r="H42" s="80"/>
      <c r="I42" s="78"/>
      <c r="J42" s="79"/>
      <c r="K42" s="72"/>
      <c r="L42" s="72"/>
      <c r="M42" s="65"/>
    </row>
    <row r="43" spans="1:13" ht="21.75" customHeight="1">
      <c r="A43" s="41">
        <v>10</v>
      </c>
      <c r="B43" s="10">
        <v>22001</v>
      </c>
      <c r="C43" s="7">
        <v>600</v>
      </c>
      <c r="D43" s="131" t="s">
        <v>36</v>
      </c>
      <c r="E43" s="106" t="s">
        <v>0</v>
      </c>
      <c r="F43" s="99">
        <v>5611320</v>
      </c>
      <c r="G43" s="100" t="s">
        <v>70</v>
      </c>
      <c r="H43" s="80">
        <v>1597000</v>
      </c>
      <c r="I43" s="78">
        <f>31347+93000+96996+18861.12+26398+89895+141642+58500+170539.22+284850+150233.4+48000+13150+98464+9380+45046.8+48100+150697.8+12387.2+9380</f>
        <v>1596867.54</v>
      </c>
      <c r="J43" s="79"/>
      <c r="K43" s="72"/>
      <c r="L43" s="72">
        <f aca="true" t="shared" si="2" ref="L43:L49">+H43-I43-J43-K43</f>
        <v>132.45999999996275</v>
      </c>
      <c r="M43" s="65">
        <f aca="true" t="shared" si="3" ref="M43:M49">I43/H43*100</f>
        <v>99.99170569818409</v>
      </c>
    </row>
    <row r="44" spans="1:13" ht="21.75" customHeight="1">
      <c r="A44" s="41">
        <v>11</v>
      </c>
      <c r="B44" s="10">
        <v>22001</v>
      </c>
      <c r="C44" s="7">
        <v>600</v>
      </c>
      <c r="D44" s="131" t="s">
        <v>36</v>
      </c>
      <c r="E44" s="106" t="s">
        <v>0</v>
      </c>
      <c r="F44" s="99">
        <v>5611320</v>
      </c>
      <c r="G44" s="100" t="s">
        <v>71</v>
      </c>
      <c r="H44" s="80">
        <v>2158000</v>
      </c>
      <c r="I44" s="78">
        <f>31347+33592+37788.91+23287.08+29257.2+172292.4+9300+66600+80341.2+7585+165790.8+15088+7545.6+9380+43700+32508+1331739+31059.6+27864+1910</f>
        <v>2157975.79</v>
      </c>
      <c r="J44" s="79"/>
      <c r="K44" s="72"/>
      <c r="L44" s="72">
        <f t="shared" si="2"/>
        <v>24.209999999962747</v>
      </c>
      <c r="M44" s="65">
        <f t="shared" si="3"/>
        <v>99.9988781278962</v>
      </c>
    </row>
    <row r="45" spans="1:13" ht="21.75" customHeight="1">
      <c r="A45" s="41">
        <v>12</v>
      </c>
      <c r="B45" s="10">
        <v>22001</v>
      </c>
      <c r="C45" s="7">
        <v>600</v>
      </c>
      <c r="D45" s="131" t="s">
        <v>36</v>
      </c>
      <c r="E45" s="106" t="s">
        <v>0</v>
      </c>
      <c r="F45" s="99">
        <v>5611320</v>
      </c>
      <c r="G45" s="100" t="s">
        <v>72</v>
      </c>
      <c r="H45" s="80">
        <v>818000</v>
      </c>
      <c r="I45" s="78">
        <f>18808.2+37662+44960+60398+95824.04+72446.4+33901.2+93355+137005.3+62066.4+17879.4+59314.8+25542+23916+6966+5851.2+21930.6</f>
        <v>817826.54</v>
      </c>
      <c r="J45" s="79"/>
      <c r="K45" s="72"/>
      <c r="L45" s="72">
        <f t="shared" si="2"/>
        <v>173.45999999996275</v>
      </c>
      <c r="M45" s="65">
        <f t="shared" si="3"/>
        <v>99.9787946210269</v>
      </c>
    </row>
    <row r="46" spans="1:13" ht="21.75" customHeight="1">
      <c r="A46" s="41">
        <v>13</v>
      </c>
      <c r="B46" s="10">
        <v>22001</v>
      </c>
      <c r="C46" s="7">
        <v>600</v>
      </c>
      <c r="D46" s="131" t="s">
        <v>36</v>
      </c>
      <c r="E46" s="106" t="s">
        <v>0</v>
      </c>
      <c r="F46" s="99">
        <v>5611320</v>
      </c>
      <c r="G46" s="100" t="s">
        <v>73</v>
      </c>
      <c r="H46" s="80">
        <v>928000</v>
      </c>
      <c r="I46" s="78">
        <f>18808.2+38176+56118+34000+139099.95+48762+16690.8+22755.6+159244+156979.43+17331.6+50619.6+16254+47833.2+22987.8+18280.4+18576+9288+9288+26703</f>
        <v>927795.58</v>
      </c>
      <c r="J46" s="79"/>
      <c r="K46" s="72"/>
      <c r="L46" s="72">
        <f t="shared" si="2"/>
        <v>204.4200000000419</v>
      </c>
      <c r="M46" s="65">
        <f t="shared" si="3"/>
        <v>99.97797198275862</v>
      </c>
    </row>
    <row r="47" spans="1:13" ht="21.75" customHeight="1">
      <c r="A47" s="41">
        <v>14</v>
      </c>
      <c r="B47" s="10">
        <v>22001</v>
      </c>
      <c r="C47" s="7">
        <v>600</v>
      </c>
      <c r="D47" s="131" t="s">
        <v>36</v>
      </c>
      <c r="E47" s="106" t="s">
        <v>0</v>
      </c>
      <c r="F47" s="99">
        <v>5611320</v>
      </c>
      <c r="G47" s="100" t="s">
        <v>74</v>
      </c>
      <c r="H47" s="80">
        <v>731000</v>
      </c>
      <c r="I47" s="78">
        <f>16718.4+82039+79101.5+85680+71982+27399.6+26079.64+46360+74841+81270+26006.4+42492.6+20433.6+32508+16254+1830</f>
        <v>730995.74</v>
      </c>
      <c r="J47" s="79"/>
      <c r="K47" s="72"/>
      <c r="L47" s="72">
        <f t="shared" si="2"/>
        <v>4.260000000009313</v>
      </c>
      <c r="M47" s="65">
        <f t="shared" si="3"/>
        <v>99.9994172366621</v>
      </c>
    </row>
    <row r="48" spans="1:13" ht="21.75" customHeight="1">
      <c r="A48" s="41">
        <v>15</v>
      </c>
      <c r="B48" s="10">
        <v>22001</v>
      </c>
      <c r="C48" s="7">
        <v>600</v>
      </c>
      <c r="D48" s="131" t="s">
        <v>36</v>
      </c>
      <c r="E48" s="106" t="s">
        <v>0</v>
      </c>
      <c r="F48" s="99">
        <v>5611320</v>
      </c>
      <c r="G48" s="100" t="s">
        <v>75</v>
      </c>
      <c r="H48" s="80">
        <v>744000</v>
      </c>
      <c r="I48" s="78">
        <f>16718.4+78139+72675+86126.5+57585.6+29257.2+27399.6+26094.6+47187+82237+76161.6+24381+37152+17879.4+32508+16254+1250+14992.8</f>
        <v>743998.7000000001</v>
      </c>
      <c r="J48" s="79"/>
      <c r="K48" s="72"/>
      <c r="L48" s="72">
        <f t="shared" si="2"/>
        <v>1.2999999999301508</v>
      </c>
      <c r="M48" s="65">
        <f t="shared" si="3"/>
        <v>99.9998252688172</v>
      </c>
    </row>
    <row r="49" spans="1:13" ht="21.75" customHeight="1">
      <c r="A49" s="41">
        <v>16</v>
      </c>
      <c r="B49" s="10">
        <v>22001</v>
      </c>
      <c r="C49" s="7">
        <v>600</v>
      </c>
      <c r="D49" s="131" t="s">
        <v>36</v>
      </c>
      <c r="E49" s="106" t="s">
        <v>0</v>
      </c>
      <c r="F49" s="99">
        <v>5611320</v>
      </c>
      <c r="G49" s="100" t="s">
        <v>76</v>
      </c>
      <c r="H49" s="80">
        <v>355000</v>
      </c>
      <c r="I49" s="78">
        <f>6269.4+85398+87275+14628.6+6966+15480+99008+10216.8+3250.8+10449+4179.6</f>
        <v>343121.19999999995</v>
      </c>
      <c r="J49" s="79"/>
      <c r="K49" s="72"/>
      <c r="L49" s="72">
        <f t="shared" si="2"/>
        <v>11878.800000000047</v>
      </c>
      <c r="M49" s="65">
        <f t="shared" si="3"/>
        <v>96.65385915492956</v>
      </c>
    </row>
    <row r="50" spans="1:13" ht="21.75" customHeight="1">
      <c r="A50" s="41">
        <v>17</v>
      </c>
      <c r="B50" s="10">
        <v>22001</v>
      </c>
      <c r="C50" s="7">
        <v>600</v>
      </c>
      <c r="D50" s="131" t="s">
        <v>36</v>
      </c>
      <c r="E50" s="106" t="s">
        <v>0</v>
      </c>
      <c r="F50" s="99">
        <v>5611320</v>
      </c>
      <c r="G50" s="100" t="s">
        <v>81</v>
      </c>
      <c r="H50" s="80">
        <v>706000</v>
      </c>
      <c r="I50" s="78">
        <f>37152+71168+46100+427454+42724.8</f>
        <v>624598.8</v>
      </c>
      <c r="J50" s="79"/>
      <c r="K50" s="72"/>
      <c r="L50" s="72">
        <f>+H50-I50-J50-K50</f>
        <v>81401.19999999995</v>
      </c>
      <c r="M50" s="65">
        <f>I50/H50*100</f>
        <v>88.4700849858357</v>
      </c>
    </row>
    <row r="51" spans="1:13" ht="21.75" customHeight="1">
      <c r="A51" s="41"/>
      <c r="B51" s="10"/>
      <c r="C51" s="7"/>
      <c r="D51" s="131"/>
      <c r="E51" s="106"/>
      <c r="F51" s="99"/>
      <c r="G51" s="100"/>
      <c r="H51" s="80"/>
      <c r="I51" s="78"/>
      <c r="J51" s="79"/>
      <c r="K51" s="72"/>
      <c r="L51" s="72"/>
      <c r="M51" s="65"/>
    </row>
    <row r="52" spans="1:13" s="1" customFormat="1" ht="23.25" customHeight="1" thickBot="1">
      <c r="A52" s="40"/>
      <c r="B52" s="10"/>
      <c r="C52" s="6"/>
      <c r="D52" s="76" t="s">
        <v>60</v>
      </c>
      <c r="E52" s="15"/>
      <c r="F52" s="15"/>
      <c r="G52" s="19" t="s">
        <v>67</v>
      </c>
      <c r="H52" s="84">
        <f>+H53</f>
        <v>2071500</v>
      </c>
      <c r="I52" s="84">
        <f>+I53</f>
        <v>2069977.8099999998</v>
      </c>
      <c r="J52" s="48">
        <f>+J53</f>
        <v>0</v>
      </c>
      <c r="K52" s="48">
        <f>+K53</f>
        <v>0</v>
      </c>
      <c r="L52" s="48">
        <f>+L53</f>
        <v>1522.190000000177</v>
      </c>
      <c r="M52" s="108">
        <f>I52/H52*100</f>
        <v>99.92651749939657</v>
      </c>
    </row>
    <row r="53" spans="1:13" ht="21.75" customHeight="1" thickTop="1">
      <c r="A53" s="41">
        <v>1</v>
      </c>
      <c r="B53" s="10">
        <v>22001</v>
      </c>
      <c r="C53" s="7">
        <v>600</v>
      </c>
      <c r="D53" s="131" t="s">
        <v>61</v>
      </c>
      <c r="E53" s="106" t="s">
        <v>0</v>
      </c>
      <c r="F53" s="99">
        <v>5611320</v>
      </c>
      <c r="G53" s="100" t="s">
        <v>62</v>
      </c>
      <c r="H53" s="113">
        <v>2071500</v>
      </c>
      <c r="I53" s="114">
        <f>91620+65000+31114.8+92220+92220+56740+92220+18576+92220+92220+81500+79000+92220+19504.8+22332+98000+92220+84400+92220+20433.6+2940+12655.8+276660+98000+27641.4+21745.65+68202.15+4000+21361.4+24036+16020+8470+14258.41+1680+6510+10165+20731.05+18423+4050+6446.75</f>
        <v>2069977.8099999998</v>
      </c>
      <c r="J53" s="114"/>
      <c r="K53" s="105"/>
      <c r="L53" s="105">
        <f>+H53-I53-J53-K53</f>
        <v>1522.190000000177</v>
      </c>
      <c r="M53" s="123">
        <f>I53/H53*100</f>
        <v>99.92651749939657</v>
      </c>
    </row>
    <row r="54" spans="1:13" ht="21.75" customHeight="1">
      <c r="A54" s="41"/>
      <c r="B54" s="10"/>
      <c r="C54" s="7"/>
      <c r="D54" s="131"/>
      <c r="E54" s="106"/>
      <c r="F54" s="99"/>
      <c r="G54" s="100"/>
      <c r="H54" s="117"/>
      <c r="I54" s="118"/>
      <c r="J54" s="119"/>
      <c r="K54" s="59"/>
      <c r="L54" s="59"/>
      <c r="M54" s="66"/>
    </row>
    <row r="55" spans="1:13" s="1" customFormat="1" ht="23.25" customHeight="1" thickBot="1">
      <c r="A55" s="40"/>
      <c r="B55" s="10"/>
      <c r="C55" s="6"/>
      <c r="D55" s="76" t="s">
        <v>63</v>
      </c>
      <c r="E55" s="15"/>
      <c r="F55" s="15"/>
      <c r="G55" s="19"/>
      <c r="H55" s="84">
        <f>SUM(H56:H57)</f>
        <v>2218100</v>
      </c>
      <c r="I55" s="84">
        <f>SUM(I56:I57)</f>
        <v>2217435.35</v>
      </c>
      <c r="J55" s="48"/>
      <c r="K55" s="48">
        <f>SUM(K56:K57)</f>
        <v>0</v>
      </c>
      <c r="L55" s="48">
        <f>SUM(L56:L57)</f>
        <v>664.6500000000233</v>
      </c>
      <c r="M55" s="108">
        <f>I55/H55*100</f>
        <v>99.97003516523151</v>
      </c>
    </row>
    <row r="56" spans="1:13" ht="21.75" customHeight="1" thickTop="1">
      <c r="A56" s="41">
        <v>1</v>
      </c>
      <c r="B56" s="10">
        <v>22001</v>
      </c>
      <c r="C56" s="7">
        <v>600</v>
      </c>
      <c r="D56" s="131" t="s">
        <v>64</v>
      </c>
      <c r="E56" s="106" t="s">
        <v>0</v>
      </c>
      <c r="F56" s="99">
        <v>5611320</v>
      </c>
      <c r="G56" s="100" t="s">
        <v>65</v>
      </c>
      <c r="H56" s="113">
        <v>1336900</v>
      </c>
      <c r="I56" s="114">
        <f>91620+50000+92220+41380+19504.8+921.4+46110+92220+6480+5400+3975.6+22859.7+92220+84710+35020+92220+70626+19878+12000+5963.4+12200+18576+92220+92220+76850+67206.95+11760+12000+5963.4+32043.6+29868</f>
        <v>1336236.8499999999</v>
      </c>
      <c r="J56" s="114"/>
      <c r="K56" s="105"/>
      <c r="L56" s="105">
        <f>+H56-I56-J56-K56</f>
        <v>663.1500000001397</v>
      </c>
      <c r="M56" s="123">
        <f>I56/H56*100</f>
        <v>99.95039643952425</v>
      </c>
    </row>
    <row r="57" spans="1:13" ht="21.75" customHeight="1">
      <c r="A57" s="41">
        <v>2</v>
      </c>
      <c r="B57" s="10">
        <v>22001</v>
      </c>
      <c r="C57" s="7">
        <v>600</v>
      </c>
      <c r="D57" s="131" t="s">
        <v>64</v>
      </c>
      <c r="E57" s="106" t="s">
        <v>0</v>
      </c>
      <c r="F57" s="99">
        <v>5611320</v>
      </c>
      <c r="G57" s="100" t="s">
        <v>66</v>
      </c>
      <c r="H57" s="117">
        <v>881200</v>
      </c>
      <c r="I57" s="118">
        <f>91620+36280+94012+16821+88100+29729+46110+8520+1800+1325.2+7619.9+92220+98925+92220+6626+2000+2650.4+13560+92220+15370+15360+28110</f>
        <v>881198.5000000001</v>
      </c>
      <c r="J57" s="119"/>
      <c r="K57" s="59"/>
      <c r="L57" s="72">
        <f>+H57-I57-J57-K57</f>
        <v>1.4999999998835847</v>
      </c>
      <c r="M57" s="65">
        <f>I57/H57*100</f>
        <v>99.99982977757604</v>
      </c>
    </row>
    <row r="58" spans="1:13" ht="21.75" customHeight="1">
      <c r="A58" s="41"/>
      <c r="B58" s="10"/>
      <c r="C58" s="7"/>
      <c r="D58" s="131"/>
      <c r="E58" s="106"/>
      <c r="F58" s="99"/>
      <c r="G58" s="100"/>
      <c r="H58" s="95"/>
      <c r="I58" s="96"/>
      <c r="J58" s="97"/>
      <c r="K58" s="58"/>
      <c r="L58" s="58"/>
      <c r="M58" s="64"/>
    </row>
    <row r="59" spans="1:13" s="1" customFormat="1" ht="23.25" customHeight="1" thickBot="1">
      <c r="A59" s="40"/>
      <c r="B59" s="10"/>
      <c r="C59" s="6"/>
      <c r="D59" s="76" t="s">
        <v>78</v>
      </c>
      <c r="E59" s="15"/>
      <c r="F59" s="15"/>
      <c r="G59" s="19"/>
      <c r="H59" s="152">
        <f>+H60</f>
        <v>759000</v>
      </c>
      <c r="I59" s="152">
        <f>+I60</f>
        <v>632235.6000000001</v>
      </c>
      <c r="J59" s="153">
        <f>+J60</f>
        <v>0</v>
      </c>
      <c r="K59" s="153">
        <f>+K60</f>
        <v>0</v>
      </c>
      <c r="L59" s="153">
        <f>+L60</f>
        <v>126764.3999999999</v>
      </c>
      <c r="M59" s="154">
        <f>I59/H59*100</f>
        <v>83.29849802371542</v>
      </c>
    </row>
    <row r="60" spans="1:13" ht="21.75" customHeight="1" thickTop="1">
      <c r="A60" s="41">
        <v>1</v>
      </c>
      <c r="B60" s="10">
        <v>22001</v>
      </c>
      <c r="C60" s="7">
        <v>600</v>
      </c>
      <c r="D60" s="131" t="s">
        <v>79</v>
      </c>
      <c r="E60" s="106" t="s">
        <v>0</v>
      </c>
      <c r="F60" s="99">
        <v>5611320</v>
      </c>
      <c r="G60" s="100" t="s">
        <v>80</v>
      </c>
      <c r="H60" s="113">
        <v>759000</v>
      </c>
      <c r="I60" s="114">
        <f>54102.6+99840+40100+15325.2+75997+90325.8+122601.6+61540+13932+18576+4200+17415+18280.4</f>
        <v>632235.6000000001</v>
      </c>
      <c r="J60" s="114"/>
      <c r="K60" s="105"/>
      <c r="L60" s="105">
        <f>+H60-I60-J60-K60</f>
        <v>126764.3999999999</v>
      </c>
      <c r="M60" s="123">
        <f>I60/H60*100</f>
        <v>83.29849802371542</v>
      </c>
    </row>
    <row r="61" spans="1:13" ht="21.75" customHeight="1">
      <c r="A61" s="41"/>
      <c r="B61" s="10"/>
      <c r="C61" s="7"/>
      <c r="D61" s="131"/>
      <c r="E61" s="106"/>
      <c r="F61" s="99"/>
      <c r="G61" s="100"/>
      <c r="H61" s="47"/>
      <c r="I61" s="50"/>
      <c r="J61" s="56"/>
      <c r="K61" s="57"/>
      <c r="L61" s="57"/>
      <c r="M61" s="63"/>
    </row>
    <row r="62" spans="1:13" ht="21.75" customHeight="1">
      <c r="A62" s="38"/>
      <c r="B62" s="73"/>
      <c r="C62" s="74"/>
      <c r="D62" s="145"/>
      <c r="E62" s="133"/>
      <c r="F62" s="93"/>
      <c r="G62" s="146"/>
      <c r="H62" s="95"/>
      <c r="I62" s="96"/>
      <c r="J62" s="97"/>
      <c r="K62" s="58"/>
      <c r="L62" s="58"/>
      <c r="M62" s="64"/>
    </row>
    <row r="63" spans="1:13" s="1" customFormat="1" ht="23.25" customHeight="1" thickBot="1">
      <c r="A63" s="151"/>
      <c r="B63" s="144"/>
      <c r="C63" s="128"/>
      <c r="D63" s="155" t="s">
        <v>49</v>
      </c>
      <c r="E63" s="156"/>
      <c r="F63" s="156"/>
      <c r="G63" s="157"/>
      <c r="H63" s="152">
        <f>+H64</f>
        <v>498000</v>
      </c>
      <c r="I63" s="152">
        <f>+I64</f>
        <v>474622.1</v>
      </c>
      <c r="J63" s="153">
        <f>+J64</f>
        <v>0</v>
      </c>
      <c r="K63" s="153">
        <f>+K64</f>
        <v>0</v>
      </c>
      <c r="L63" s="153">
        <f>+L64</f>
        <v>23377.900000000023</v>
      </c>
      <c r="M63" s="154">
        <f>I63/H63*100</f>
        <v>95.30564257028112</v>
      </c>
    </row>
    <row r="64" spans="1:13" ht="21.75" customHeight="1" thickTop="1">
      <c r="A64" s="20">
        <v>1</v>
      </c>
      <c r="B64" s="10">
        <v>22001</v>
      </c>
      <c r="C64" s="7">
        <v>600</v>
      </c>
      <c r="D64" s="131" t="s">
        <v>50</v>
      </c>
      <c r="E64" s="106" t="s">
        <v>0</v>
      </c>
      <c r="F64" s="39">
        <v>5611320</v>
      </c>
      <c r="G64" s="112" t="s">
        <v>51</v>
      </c>
      <c r="H64" s="113">
        <v>498000</v>
      </c>
      <c r="I64" s="114">
        <f>36760+157170+30740+50016+21120+28140+30650.4+32043.6+6000+43760+6000+16021.8+4200+12000.3</f>
        <v>474622.1</v>
      </c>
      <c r="J64" s="114"/>
      <c r="K64" s="105"/>
      <c r="L64" s="105">
        <f>+H64-I64-J64-K64</f>
        <v>23377.900000000023</v>
      </c>
      <c r="M64" s="123">
        <f>I64/H64*100</f>
        <v>95.30564257028112</v>
      </c>
    </row>
    <row r="65" spans="1:13" ht="21.75" customHeight="1">
      <c r="A65" s="20"/>
      <c r="B65" s="10"/>
      <c r="C65" s="7"/>
      <c r="D65" s="131"/>
      <c r="E65" s="106"/>
      <c r="F65" s="39"/>
      <c r="G65" s="112"/>
      <c r="H65" s="47"/>
      <c r="I65" s="50"/>
      <c r="J65" s="56"/>
      <c r="K65" s="57"/>
      <c r="L65" s="57"/>
      <c r="M65" s="63"/>
    </row>
    <row r="66" spans="1:13" ht="21.75" customHeight="1">
      <c r="A66" s="41"/>
      <c r="B66" s="10"/>
      <c r="C66" s="7"/>
      <c r="D66" s="131"/>
      <c r="E66" s="106"/>
      <c r="F66" s="99"/>
      <c r="G66" s="100"/>
      <c r="H66" s="47"/>
      <c r="I66" s="50"/>
      <c r="J66" s="56"/>
      <c r="K66" s="57"/>
      <c r="L66" s="57"/>
      <c r="M66" s="63"/>
    </row>
    <row r="67" spans="1:13" ht="21.75" customHeight="1" thickBot="1">
      <c r="A67" s="33" t="s">
        <v>55</v>
      </c>
      <c r="B67" s="30"/>
      <c r="C67" s="31"/>
      <c r="D67" s="11"/>
      <c r="E67" s="11"/>
      <c r="F67" s="11"/>
      <c r="G67" s="85"/>
      <c r="H67" s="83">
        <f>+H69</f>
        <v>201400</v>
      </c>
      <c r="I67" s="83">
        <f>+I69</f>
        <v>195200</v>
      </c>
      <c r="J67" s="46">
        <f>+J69</f>
        <v>0</v>
      </c>
      <c r="K67" s="46">
        <f>+K69</f>
        <v>0</v>
      </c>
      <c r="L67" s="46">
        <f>+L69</f>
        <v>6200</v>
      </c>
      <c r="M67" s="61">
        <f>I67/H67*100</f>
        <v>96.92154915590864</v>
      </c>
    </row>
    <row r="68" spans="1:13" ht="24.75" customHeight="1" thickTop="1">
      <c r="A68" s="33"/>
      <c r="B68" s="30"/>
      <c r="C68" s="31"/>
      <c r="D68" s="11"/>
      <c r="E68" s="11"/>
      <c r="F68" s="11"/>
      <c r="G68" s="85"/>
      <c r="H68" s="104"/>
      <c r="I68" s="141"/>
      <c r="J68" s="104"/>
      <c r="K68" s="104"/>
      <c r="L68" s="104"/>
      <c r="M68" s="123"/>
    </row>
    <row r="69" spans="1:13" s="1" customFormat="1" ht="23.25" customHeight="1" thickBot="1">
      <c r="A69" s="40"/>
      <c r="B69" s="10"/>
      <c r="C69" s="6"/>
      <c r="D69" s="76" t="s">
        <v>56</v>
      </c>
      <c r="E69" s="15"/>
      <c r="F69" s="15"/>
      <c r="G69" s="19"/>
      <c r="H69" s="84">
        <f>+H70</f>
        <v>201400</v>
      </c>
      <c r="I69" s="84">
        <f>+I70</f>
        <v>195200</v>
      </c>
      <c r="J69" s="48">
        <f>+J70</f>
        <v>0</v>
      </c>
      <c r="K69" s="48">
        <f>+K70</f>
        <v>0</v>
      </c>
      <c r="L69" s="48">
        <f>+L70</f>
        <v>6200</v>
      </c>
      <c r="M69" s="108">
        <f>I69/H69*100</f>
        <v>96.92154915590864</v>
      </c>
    </row>
    <row r="70" spans="1:13" ht="21.75" customHeight="1" thickTop="1">
      <c r="A70" s="41">
        <v>1</v>
      </c>
      <c r="B70" s="10">
        <v>22001</v>
      </c>
      <c r="C70" s="7">
        <v>600</v>
      </c>
      <c r="D70" s="131" t="s">
        <v>57</v>
      </c>
      <c r="E70" s="106" t="s">
        <v>0</v>
      </c>
      <c r="F70" s="99">
        <v>5611500</v>
      </c>
      <c r="G70" s="127" t="s">
        <v>58</v>
      </c>
      <c r="H70" s="113">
        <v>201400</v>
      </c>
      <c r="I70" s="114">
        <f>24704+7296+16000+12000+111600+2000+21600</f>
        <v>195200</v>
      </c>
      <c r="J70" s="114"/>
      <c r="K70" s="105"/>
      <c r="L70" s="105">
        <f>+H70-I70-J70-K70</f>
        <v>6200</v>
      </c>
      <c r="M70" s="123">
        <f>I70/H70*100</f>
        <v>96.92154915590864</v>
      </c>
    </row>
    <row r="71" spans="1:13" ht="21.75" customHeight="1">
      <c r="A71" s="41"/>
      <c r="B71" s="10"/>
      <c r="C71" s="7"/>
      <c r="D71" s="131"/>
      <c r="E71" s="106"/>
      <c r="F71" s="99"/>
      <c r="G71" s="100"/>
      <c r="H71" s="47"/>
      <c r="I71" s="50"/>
      <c r="J71" s="56"/>
      <c r="K71" s="57"/>
      <c r="L71" s="57"/>
      <c r="M71" s="63"/>
    </row>
    <row r="72" spans="1:13" ht="26.25" customHeight="1" thickBot="1">
      <c r="A72" s="137"/>
      <c r="B72" s="136" t="s">
        <v>32</v>
      </c>
      <c r="C72" s="128"/>
      <c r="D72" s="136"/>
      <c r="E72" s="129"/>
      <c r="F72" s="130"/>
      <c r="G72" s="34"/>
      <c r="H72" s="134">
        <f>+H74</f>
        <v>904000</v>
      </c>
      <c r="I72" s="134">
        <f>+I74</f>
        <v>0</v>
      </c>
      <c r="J72" s="134">
        <f>+J74</f>
        <v>0</v>
      </c>
      <c r="K72" s="134">
        <f>+K74</f>
        <v>0</v>
      </c>
      <c r="L72" s="134">
        <f>+L74</f>
        <v>904000</v>
      </c>
      <c r="M72" s="135">
        <f>I72/H72*100</f>
        <v>0</v>
      </c>
    </row>
    <row r="73" spans="1:13" ht="15" customHeight="1" thickTop="1">
      <c r="A73" s="41"/>
      <c r="B73" s="10"/>
      <c r="C73" s="7"/>
      <c r="D73" s="131"/>
      <c r="E73" s="106"/>
      <c r="F73" s="99"/>
      <c r="G73" s="100"/>
      <c r="H73" s="75"/>
      <c r="I73" s="67"/>
      <c r="J73" s="68"/>
      <c r="K73" s="55"/>
      <c r="L73" s="55"/>
      <c r="M73" s="62"/>
    </row>
    <row r="74" spans="1:13" ht="21.75" customHeight="1" thickBot="1">
      <c r="A74" s="33" t="s">
        <v>55</v>
      </c>
      <c r="B74" s="30"/>
      <c r="C74" s="31"/>
      <c r="D74" s="11"/>
      <c r="E74" s="11"/>
      <c r="F74" s="11"/>
      <c r="G74" s="85"/>
      <c r="H74" s="147">
        <f>+H76</f>
        <v>904000</v>
      </c>
      <c r="I74" s="147">
        <f>+I76</f>
        <v>0</v>
      </c>
      <c r="J74" s="148">
        <f>+J76</f>
        <v>0</v>
      </c>
      <c r="K74" s="148">
        <f>+K76</f>
        <v>0</v>
      </c>
      <c r="L74" s="148">
        <f>+L76</f>
        <v>904000</v>
      </c>
      <c r="M74" s="149">
        <f>I74/H74*100</f>
        <v>0</v>
      </c>
    </row>
    <row r="75" spans="1:13" ht="20.25" customHeight="1" thickTop="1">
      <c r="A75" s="33"/>
      <c r="B75" s="30"/>
      <c r="C75" s="31"/>
      <c r="D75" s="11"/>
      <c r="E75" s="11"/>
      <c r="F75" s="11"/>
      <c r="G75" s="85"/>
      <c r="H75" s="104"/>
      <c r="I75" s="141"/>
      <c r="J75" s="104"/>
      <c r="K75" s="104"/>
      <c r="L75" s="104"/>
      <c r="M75" s="123"/>
    </row>
    <row r="76" spans="1:13" s="1" customFormat="1" ht="23.25" customHeight="1" thickBot="1">
      <c r="A76" s="40"/>
      <c r="B76" s="10"/>
      <c r="C76" s="6"/>
      <c r="D76" s="76" t="s">
        <v>84</v>
      </c>
      <c r="E76" s="15"/>
      <c r="F76" s="15"/>
      <c r="G76" s="19"/>
      <c r="H76" s="84">
        <f>+H77</f>
        <v>904000</v>
      </c>
      <c r="I76" s="84">
        <f>+I77</f>
        <v>0</v>
      </c>
      <c r="J76" s="48">
        <f>+J77</f>
        <v>0</v>
      </c>
      <c r="K76" s="48">
        <f>+K77</f>
        <v>0</v>
      </c>
      <c r="L76" s="48">
        <f>+L77</f>
        <v>904000</v>
      </c>
      <c r="M76" s="108">
        <f>I76/H76*100</f>
        <v>0</v>
      </c>
    </row>
    <row r="77" spans="1:13" ht="21.75" customHeight="1" thickTop="1">
      <c r="A77" s="20">
        <v>1</v>
      </c>
      <c r="B77" s="10">
        <v>22002</v>
      </c>
      <c r="C77" s="7">
        <v>900</v>
      </c>
      <c r="D77" s="131" t="s">
        <v>85</v>
      </c>
      <c r="E77" s="106" t="s">
        <v>33</v>
      </c>
      <c r="F77" s="39">
        <v>5611500</v>
      </c>
      <c r="G77" s="150" t="s">
        <v>77</v>
      </c>
      <c r="H77" s="113">
        <v>904000</v>
      </c>
      <c r="I77" s="114"/>
      <c r="J77" s="114"/>
      <c r="K77" s="105"/>
      <c r="L77" s="105">
        <f>+H77-I77-J77-K77</f>
        <v>904000</v>
      </c>
      <c r="M77" s="123">
        <f>I77/H77*100</f>
        <v>0</v>
      </c>
    </row>
    <row r="78" spans="1:13" s="4" customFormat="1" ht="21.75" customHeight="1">
      <c r="A78" s="86"/>
      <c r="B78" s="10"/>
      <c r="C78" s="7"/>
      <c r="D78" s="32"/>
      <c r="E78" s="106"/>
      <c r="F78" s="39"/>
      <c r="G78" s="112"/>
      <c r="H78" s="107"/>
      <c r="I78" s="51"/>
      <c r="J78" s="57"/>
      <c r="K78" s="57"/>
      <c r="L78" s="57"/>
      <c r="M78" s="63"/>
    </row>
    <row r="79" spans="1:13" ht="21.75" customHeight="1">
      <c r="A79" s="38"/>
      <c r="B79" s="73"/>
      <c r="C79" s="140"/>
      <c r="D79" s="92"/>
      <c r="E79" s="92"/>
      <c r="F79" s="93"/>
      <c r="G79" s="94"/>
      <c r="H79" s="95"/>
      <c r="I79" s="96"/>
      <c r="J79" s="97"/>
      <c r="K79" s="58"/>
      <c r="L79" s="64"/>
      <c r="M79" s="64"/>
    </row>
    <row r="81" spans="8:10" ht="21.75" customHeight="1">
      <c r="H81" s="52"/>
      <c r="I81" s="52"/>
      <c r="J81" s="52"/>
    </row>
    <row r="83" ht="21.75" customHeight="1">
      <c r="J83" s="101"/>
    </row>
  </sheetData>
  <sheetProtection/>
  <mergeCells count="3">
    <mergeCell ref="B4:C4"/>
    <mergeCell ref="A1:M1"/>
    <mergeCell ref="A2:M2"/>
  </mergeCells>
  <printOptions/>
  <pageMargins left="0.17" right="0.17" top="0.24" bottom="0.19" header="0.5" footer="0.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5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22.140625" style="21" customWidth="1"/>
    <col min="2" max="2" width="11.8515625" style="21" customWidth="1"/>
    <col min="3" max="3" width="12.140625" style="21" customWidth="1"/>
    <col min="4" max="4" width="11.8515625" style="21" customWidth="1"/>
    <col min="5" max="5" width="6.57421875" style="21" customWidth="1"/>
    <col min="6" max="6" width="14.140625" style="21" customWidth="1"/>
    <col min="7" max="7" width="14.57421875" style="21" customWidth="1"/>
    <col min="8" max="8" width="13.8515625" style="21" customWidth="1"/>
    <col min="9" max="9" width="6.7109375" style="21" customWidth="1"/>
    <col min="10" max="10" width="13.7109375" style="21" customWidth="1"/>
    <col min="11" max="11" width="12.7109375" style="21" customWidth="1"/>
    <col min="12" max="12" width="12.8515625" style="21" customWidth="1"/>
    <col min="13" max="13" width="6.7109375" style="21" customWidth="1"/>
    <col min="14" max="14" width="11.8515625" style="21" customWidth="1"/>
    <col min="15" max="15" width="11.28125" style="21" customWidth="1"/>
    <col min="16" max="16" width="12.140625" style="21" customWidth="1"/>
    <col min="17" max="17" width="7.28125" style="21" customWidth="1"/>
    <col min="18" max="18" width="14.140625" style="21" customWidth="1"/>
    <col min="19" max="19" width="14.00390625" style="21" customWidth="1"/>
    <col min="20" max="20" width="14.28125" style="21" customWidth="1"/>
    <col min="21" max="21" width="6.8515625" style="71" customWidth="1"/>
    <col min="22" max="16384" width="9.140625" style="21" customWidth="1"/>
  </cols>
  <sheetData>
    <row r="1" spans="1:21" ht="21">
      <c r="A1" s="168" t="s">
        <v>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s="22" customFormat="1" ht="21">
      <c r="A2" s="168" t="s">
        <v>44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s="22" customFormat="1" ht="21">
      <c r="A3" s="168" t="s">
        <v>86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1:21" s="22" customFormat="1" ht="8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69"/>
    </row>
    <row r="5" spans="1:21" s="22" customFormat="1" ht="21">
      <c r="A5" s="166" t="s">
        <v>13</v>
      </c>
      <c r="B5" s="169" t="s">
        <v>1</v>
      </c>
      <c r="C5" s="170"/>
      <c r="D5" s="170"/>
      <c r="E5" s="171"/>
      <c r="F5" s="169" t="s">
        <v>10</v>
      </c>
      <c r="G5" s="170"/>
      <c r="H5" s="170"/>
      <c r="I5" s="171"/>
      <c r="J5" s="169" t="s">
        <v>12</v>
      </c>
      <c r="K5" s="170"/>
      <c r="L5" s="170"/>
      <c r="M5" s="171"/>
      <c r="N5" s="169" t="s">
        <v>11</v>
      </c>
      <c r="O5" s="170"/>
      <c r="P5" s="170"/>
      <c r="Q5" s="171"/>
      <c r="R5" s="169" t="s">
        <v>14</v>
      </c>
      <c r="S5" s="170"/>
      <c r="T5" s="170"/>
      <c r="U5" s="171"/>
    </row>
    <row r="6" spans="1:21" s="22" customFormat="1" ht="23.25" customHeight="1">
      <c r="A6" s="172"/>
      <c r="B6" s="164" t="s">
        <v>15</v>
      </c>
      <c r="C6" s="166" t="s">
        <v>6</v>
      </c>
      <c r="D6" s="166" t="s">
        <v>7</v>
      </c>
      <c r="E6" s="164" t="s">
        <v>17</v>
      </c>
      <c r="F6" s="164" t="s">
        <v>15</v>
      </c>
      <c r="G6" s="166" t="s">
        <v>6</v>
      </c>
      <c r="H6" s="166" t="s">
        <v>7</v>
      </c>
      <c r="I6" s="164" t="s">
        <v>17</v>
      </c>
      <c r="J6" s="164" t="s">
        <v>15</v>
      </c>
      <c r="K6" s="166" t="s">
        <v>6</v>
      </c>
      <c r="L6" s="166" t="s">
        <v>7</v>
      </c>
      <c r="M6" s="164" t="s">
        <v>17</v>
      </c>
      <c r="N6" s="164" t="s">
        <v>15</v>
      </c>
      <c r="O6" s="166" t="s">
        <v>6</v>
      </c>
      <c r="P6" s="166" t="s">
        <v>7</v>
      </c>
      <c r="Q6" s="164" t="s">
        <v>17</v>
      </c>
      <c r="R6" s="164" t="s">
        <v>15</v>
      </c>
      <c r="S6" s="166" t="s">
        <v>6</v>
      </c>
      <c r="T6" s="166" t="s">
        <v>7</v>
      </c>
      <c r="U6" s="162" t="s">
        <v>17</v>
      </c>
    </row>
    <row r="7" spans="1:21" s="22" customFormat="1" ht="37.5" customHeight="1">
      <c r="A7" s="167"/>
      <c r="B7" s="165"/>
      <c r="C7" s="167"/>
      <c r="D7" s="167"/>
      <c r="E7" s="165"/>
      <c r="F7" s="165"/>
      <c r="G7" s="167"/>
      <c r="H7" s="167"/>
      <c r="I7" s="165"/>
      <c r="J7" s="165"/>
      <c r="K7" s="167"/>
      <c r="L7" s="167"/>
      <c r="M7" s="165"/>
      <c r="N7" s="165"/>
      <c r="O7" s="167"/>
      <c r="P7" s="167"/>
      <c r="Q7" s="165"/>
      <c r="R7" s="165"/>
      <c r="S7" s="167"/>
      <c r="T7" s="167"/>
      <c r="U7" s="163"/>
    </row>
    <row r="8" spans="1:21" ht="21">
      <c r="A8" s="25"/>
      <c r="B8" s="26"/>
      <c r="C8" s="26"/>
      <c r="D8" s="27"/>
      <c r="E8" s="27"/>
      <c r="F8" s="26"/>
      <c r="G8" s="25"/>
      <c r="H8" s="138"/>
      <c r="I8" s="27"/>
      <c r="J8" s="26"/>
      <c r="K8" s="25"/>
      <c r="L8" s="27"/>
      <c r="M8" s="27"/>
      <c r="N8" s="27"/>
      <c r="O8" s="27"/>
      <c r="P8" s="27"/>
      <c r="Q8" s="27"/>
      <c r="R8" s="25"/>
      <c r="S8" s="26"/>
      <c r="T8" s="27"/>
      <c r="U8" s="70"/>
    </row>
    <row r="9" spans="1:21" ht="21">
      <c r="A9" s="174" t="s">
        <v>16</v>
      </c>
      <c r="B9" s="115">
        <f>SUM(B10:B11)</f>
        <v>903725</v>
      </c>
      <c r="C9" s="115">
        <f>SUM(C10:C11)</f>
        <v>810738.9599999998</v>
      </c>
      <c r="D9" s="115">
        <f>SUM(D10:D11)</f>
        <v>92986.04000000015</v>
      </c>
      <c r="E9" s="116">
        <f>+C9/B9*100</f>
        <v>89.71080361835733</v>
      </c>
      <c r="F9" s="116">
        <f>+F10</f>
        <v>27913519</v>
      </c>
      <c r="G9" s="116">
        <f>+G10</f>
        <v>27133577.07</v>
      </c>
      <c r="H9" s="116">
        <f>SUM(H10:H11)</f>
        <v>779941.9299999997</v>
      </c>
      <c r="I9" s="116">
        <f>+G9/F9*100</f>
        <v>97.20586311600483</v>
      </c>
      <c r="J9" s="116"/>
      <c r="K9" s="116"/>
      <c r="L9" s="116"/>
      <c r="M9" s="116"/>
      <c r="N9" s="116">
        <f>+N10</f>
        <v>1105400</v>
      </c>
      <c r="O9" s="116">
        <f>+O10</f>
        <v>195200</v>
      </c>
      <c r="P9" s="116">
        <f>SUM(P10:P11)</f>
        <v>910200</v>
      </c>
      <c r="Q9" s="116">
        <f>+O9/N9*100</f>
        <v>17.658766057535733</v>
      </c>
      <c r="R9" s="116">
        <f>SUM(R10:R11)</f>
        <v>29922644</v>
      </c>
      <c r="S9" s="116">
        <f>SUM(S10:S11)</f>
        <v>28139516.03</v>
      </c>
      <c r="T9" s="116">
        <f>SUM(T10:T11)</f>
        <v>1783127.9699999988</v>
      </c>
      <c r="U9" s="116">
        <f>S9*100/R9</f>
        <v>94.04087429573403</v>
      </c>
    </row>
    <row r="10" spans="1:21" ht="21">
      <c r="A10" s="28" t="s">
        <v>45</v>
      </c>
      <c r="B10" s="109">
        <f>+แม่แฝก!H9</f>
        <v>903725</v>
      </c>
      <c r="C10" s="109">
        <f>+แม่แฝก!I9</f>
        <v>810738.9599999998</v>
      </c>
      <c r="D10" s="110">
        <f>+B10-C10</f>
        <v>92986.04000000015</v>
      </c>
      <c r="E10" s="110">
        <f>+C10/B10*100</f>
        <v>89.71080361835733</v>
      </c>
      <c r="F10" s="109">
        <f>+แม่แฝก!H22</f>
        <v>27913519</v>
      </c>
      <c r="G10" s="109">
        <f>+แม่แฝก!I22</f>
        <v>27133577.07</v>
      </c>
      <c r="H10" s="109">
        <f>+F10-G10</f>
        <v>779941.9299999997</v>
      </c>
      <c r="I10" s="110">
        <f>+G10/F10*100</f>
        <v>97.20586311600483</v>
      </c>
      <c r="J10" s="109"/>
      <c r="K10" s="109"/>
      <c r="L10" s="109"/>
      <c r="M10" s="110"/>
      <c r="N10" s="110">
        <f>+แม่แฝก!H67+แม่แฝก!H74</f>
        <v>1105400</v>
      </c>
      <c r="O10" s="110">
        <f>+แม่แฝก!I67+แม่แฝก!I74</f>
        <v>195200</v>
      </c>
      <c r="P10" s="109">
        <f>+N10-O10</f>
        <v>910200</v>
      </c>
      <c r="Q10" s="110">
        <f>+O10/N10*100</f>
        <v>17.658766057535733</v>
      </c>
      <c r="R10" s="110">
        <f>+B10+F10+J10+N10</f>
        <v>29922644</v>
      </c>
      <c r="S10" s="110">
        <f>+C10+G10+K10+O10</f>
        <v>28139516.03</v>
      </c>
      <c r="T10" s="110">
        <f>+R10-S10</f>
        <v>1783127.9699999988</v>
      </c>
      <c r="U10" s="111">
        <f>S10*100/R10</f>
        <v>94.04087429573403</v>
      </c>
    </row>
    <row r="11" spans="1:21" ht="21">
      <c r="A11" s="29"/>
      <c r="B11" s="124"/>
      <c r="C11" s="124"/>
      <c r="D11" s="125"/>
      <c r="E11" s="125"/>
      <c r="F11" s="175"/>
      <c r="G11" s="175"/>
      <c r="H11" s="159"/>
      <c r="I11" s="125"/>
      <c r="J11" s="124"/>
      <c r="K11" s="124"/>
      <c r="L11" s="125"/>
      <c r="M11" s="125"/>
      <c r="N11" s="125"/>
      <c r="O11" s="125"/>
      <c r="P11" s="125"/>
      <c r="Q11" s="125"/>
      <c r="R11" s="159"/>
      <c r="S11" s="159"/>
      <c r="T11" s="159"/>
      <c r="U11" s="176"/>
    </row>
    <row r="14" spans="1:21" ht="21">
      <c r="A14" s="24"/>
      <c r="B14" s="24"/>
      <c r="C14" s="24"/>
      <c r="D14" s="24"/>
      <c r="E14" s="24"/>
      <c r="F14" s="24"/>
      <c r="J14" s="173"/>
      <c r="K14" s="173"/>
      <c r="L14" s="24"/>
      <c r="M14" s="24"/>
      <c r="N14" s="24"/>
      <c r="O14" s="24"/>
      <c r="P14" s="24"/>
      <c r="Q14" s="24"/>
      <c r="R14" s="24"/>
      <c r="S14" s="24"/>
      <c r="T14" s="24"/>
      <c r="U14" s="77"/>
    </row>
    <row r="15" spans="1:21" ht="21">
      <c r="A15" s="24"/>
      <c r="B15" s="24"/>
      <c r="C15" s="24"/>
      <c r="D15" s="24"/>
      <c r="E15" s="24"/>
      <c r="F15" s="24"/>
      <c r="J15" s="103"/>
      <c r="K15" s="102"/>
      <c r="L15" s="102"/>
      <c r="M15" s="102"/>
      <c r="N15" s="24"/>
      <c r="O15" s="24"/>
      <c r="P15" s="24"/>
      <c r="Q15" s="24"/>
      <c r="R15" s="24"/>
      <c r="S15" s="24"/>
      <c r="T15" s="24"/>
      <c r="U15" s="77"/>
    </row>
  </sheetData>
  <sheetProtection/>
  <mergeCells count="30">
    <mergeCell ref="U6:U7"/>
    <mergeCell ref="M6:M7"/>
    <mergeCell ref="J5:M5"/>
    <mergeCell ref="S6:S7"/>
    <mergeCell ref="N5:Q5"/>
    <mergeCell ref="J6:J7"/>
    <mergeCell ref="T6:T7"/>
    <mergeCell ref="J14:K14"/>
    <mergeCell ref="K6:K7"/>
    <mergeCell ref="L6:L7"/>
    <mergeCell ref="A1:U1"/>
    <mergeCell ref="A2:U2"/>
    <mergeCell ref="A3:U3"/>
    <mergeCell ref="F5:I5"/>
    <mergeCell ref="A5:A7"/>
    <mergeCell ref="B5:E5"/>
    <mergeCell ref="R6:R7"/>
    <mergeCell ref="G6:G7"/>
    <mergeCell ref="R5:U5"/>
    <mergeCell ref="E6:E7"/>
    <mergeCell ref="C6:C7"/>
    <mergeCell ref="Q6:Q7"/>
    <mergeCell ref="O6:O7"/>
    <mergeCell ref="I6:I7"/>
    <mergeCell ref="N6:N7"/>
    <mergeCell ref="H6:H7"/>
    <mergeCell ref="D6:D7"/>
    <mergeCell ref="F6:F7"/>
    <mergeCell ref="P6:P7"/>
    <mergeCell ref="B6:B7"/>
  </mergeCells>
  <printOptions/>
  <pageMargins left="0.2" right="0.17" top="0.3" bottom="0.16" header="0.5" footer="0.21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EAK</cp:lastModifiedBy>
  <cp:lastPrinted>2013-08-10T06:48:40Z</cp:lastPrinted>
  <dcterms:created xsi:type="dcterms:W3CDTF">2006-06-15T00:26:51Z</dcterms:created>
  <dcterms:modified xsi:type="dcterms:W3CDTF">2013-09-04T04:29:37Z</dcterms:modified>
  <cp:category/>
  <cp:version/>
  <cp:contentType/>
  <cp:contentStatus/>
</cp:coreProperties>
</file>